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05" firstSheet="2" activeTab="2"/>
  </bookViews>
  <sheets>
    <sheet name="пр-во " sheetId="1" state="hidden" r:id="rId1"/>
    <sheet name="отгр.  2008" sheetId="2" state="hidden" r:id="rId2"/>
    <sheet name="Annually" sheetId="3" r:id="rId3"/>
    <sheet name="Quarterly" sheetId="4" r:id="rId4"/>
  </sheets>
  <definedNames>
    <definedName name="_xlnm.Print_Area" localSheetId="2">'Annually'!$B$2:$AQ$264</definedName>
    <definedName name="_xlnm.Print_Area" localSheetId="3">'Quarterly'!$B$13:$FF$111</definedName>
  </definedNames>
  <calcPr calcMode="autoNoTable" fullCalcOnLoad="1"/>
</workbook>
</file>

<file path=xl/comments3.xml><?xml version="1.0" encoding="utf-8"?>
<comments xmlns="http://schemas.openxmlformats.org/spreadsheetml/2006/main">
  <authors>
    <author>WS_3877</author>
    <author>ipopov</author>
  </authors>
  <commentList>
    <comment ref="I139" authorId="0">
      <text>
        <r>
          <rPr>
            <b/>
            <sz val="8"/>
            <rFont val="Tahoma"/>
            <family val="2"/>
          </rPr>
          <t>WS_3877:</t>
        </r>
        <r>
          <rPr>
            <sz val="8"/>
            <rFont val="Tahoma"/>
            <family val="2"/>
          </rPr>
          <t xml:space="preserve">
внутризаводское потребление на другие продукты</t>
        </r>
      </text>
    </comment>
    <comment ref="H207" authorId="1">
      <text>
        <r>
          <rPr>
            <b/>
            <sz val="8"/>
            <rFont val="Tahoma"/>
            <family val="2"/>
          </rPr>
          <t>ipopov:</t>
        </r>
        <r>
          <rPr>
            <sz val="8"/>
            <rFont val="Tahoma"/>
            <family val="2"/>
          </rPr>
          <t xml:space="preserve">
new metodology</t>
        </r>
      </text>
    </comment>
    <comment ref="J139" authorId="0">
      <text>
        <r>
          <rPr>
            <b/>
            <sz val="8"/>
            <rFont val="Tahoma"/>
            <family val="2"/>
          </rPr>
          <t>WS_3877:</t>
        </r>
        <r>
          <rPr>
            <sz val="8"/>
            <rFont val="Tahoma"/>
            <family val="2"/>
          </rPr>
          <t xml:space="preserve">
внутризаводское потребление на другие продукты</t>
        </r>
      </text>
    </comment>
  </commentList>
</comments>
</file>

<file path=xl/comments4.xml><?xml version="1.0" encoding="utf-8"?>
<comments xmlns="http://schemas.openxmlformats.org/spreadsheetml/2006/main">
  <authors>
    <author>Demchenko</author>
    <author>yashin</author>
  </authors>
  <commentList>
    <comment ref="K198" authorId="0">
      <text>
        <r>
          <rPr>
            <sz val="8"/>
            <rFont val="Tahoma"/>
            <family val="2"/>
          </rPr>
          <t>изменена методология расчёта - учёт по отгрузке</t>
        </r>
      </text>
    </comment>
    <comment ref="K159" authorId="0">
      <text>
        <r>
          <rPr>
            <sz val="8"/>
            <rFont val="Tahoma"/>
            <family val="2"/>
          </rPr>
          <t>изменена методология расчёта - учёт по отгрузке</t>
        </r>
      </text>
    </comment>
    <comment ref="AK66" authorId="1">
      <text>
        <r>
          <rPr>
            <sz val="10"/>
            <rFont val="Tahoma"/>
            <family val="2"/>
          </rPr>
          <t>+ потребление Дорогобужем аммиака с Акрона</t>
        </r>
      </text>
    </comment>
    <comment ref="AH66" authorId="1">
      <text>
        <r>
          <rPr>
            <b/>
            <sz val="9"/>
            <rFont val="Tahoma"/>
            <family val="2"/>
          </rPr>
          <t>yashin:</t>
        </r>
        <r>
          <rPr>
            <sz val="9"/>
            <rFont val="Tahoma"/>
            <family val="2"/>
          </rPr>
          <t xml:space="preserve">
+ потребление Дорогобужем аммиака с Акрона</t>
        </r>
      </text>
    </comment>
  </commentList>
</comments>
</file>

<file path=xl/sharedStrings.xml><?xml version="1.0" encoding="utf-8"?>
<sst xmlns="http://schemas.openxmlformats.org/spreadsheetml/2006/main" count="1966" uniqueCount="322">
  <si>
    <t>ОАО "Дорогобуж"</t>
  </si>
  <si>
    <t>Удобрения</t>
  </si>
  <si>
    <t>Аммиак</t>
  </si>
  <si>
    <t>Группа оргсинтеза</t>
  </si>
  <si>
    <t>Неорганика</t>
  </si>
  <si>
    <t>Иное</t>
  </si>
  <si>
    <t>Итого</t>
  </si>
  <si>
    <t>карбамид</t>
  </si>
  <si>
    <t>с/х селитра</t>
  </si>
  <si>
    <t>NPK</t>
  </si>
  <si>
    <t>смешан-ные уд-я</t>
  </si>
  <si>
    <t>нитроам-мофос</t>
  </si>
  <si>
    <t>ABC</t>
  </si>
  <si>
    <t>метанол</t>
  </si>
  <si>
    <t>формалин</t>
  </si>
  <si>
    <t>КФС</t>
  </si>
  <si>
    <t>пром. селитра                              (с уч. пористой)</t>
  </si>
  <si>
    <t>аргон</t>
  </si>
  <si>
    <t>известь</t>
  </si>
  <si>
    <t>Карбонат кальция</t>
  </si>
  <si>
    <t>азотная                              к-та (натура)</t>
  </si>
  <si>
    <t>жидкая угле-кислота</t>
  </si>
  <si>
    <t>соляная                                         к-та (натура)</t>
  </si>
  <si>
    <t>серная                                                      к-та (натура)</t>
  </si>
  <si>
    <t>п\п мешки, млн шт. (ООО "Дорогобужский полимер")</t>
  </si>
  <si>
    <t>ОАО "Акрон"</t>
  </si>
  <si>
    <t>АК "Хунжи-Акрон"</t>
  </si>
  <si>
    <t>Итого по продуктам</t>
  </si>
  <si>
    <t>Итого по группам</t>
  </si>
  <si>
    <t>п\п мешки, млн шт.</t>
  </si>
  <si>
    <t>п\п мешки, млн шт. (ООО "Дорогобужский Полимер")</t>
  </si>
  <si>
    <t>катализа-торы</t>
  </si>
  <si>
    <t>ЗАО "Катализаторы", тыс. т</t>
  </si>
  <si>
    <t>КАС</t>
  </si>
  <si>
    <t>КФК</t>
  </si>
  <si>
    <t>МАР</t>
  </si>
  <si>
    <t>По ОАО "Акрон" и ОАО "Дорогобуж :</t>
  </si>
  <si>
    <t xml:space="preserve">                      -аммиачная селитра и азофоска указаны за вычетом передачи на сухие смеси.</t>
  </si>
  <si>
    <t xml:space="preserve">                      - карбамид за вычетом передачи на производство удобрения жидкого азотного (КАС)</t>
  </si>
  <si>
    <t>-</t>
  </si>
  <si>
    <t>Объемы производства продукции за 2008 год, тыс. т продукта</t>
  </si>
  <si>
    <t>Объемы производства продукции за  2007 год, тыс. т продукта</t>
  </si>
  <si>
    <t>Объемы отгрузки продукции за 2008 год, тыс. т продукта</t>
  </si>
  <si>
    <t>Объемы отгрузки продукции за 2007 год, тыс. т продукта</t>
  </si>
  <si>
    <t>*по сводной строчке учтены поставки внутри группы в количестве : 5,995 тыс.т</t>
  </si>
  <si>
    <t xml:space="preserve"> - по карбамиду - 64 т</t>
  </si>
  <si>
    <t xml:space="preserve"> - по аммиаку - 5995 т</t>
  </si>
  <si>
    <t xml:space="preserve"> - по карбамиду - 56 т</t>
  </si>
  <si>
    <t xml:space="preserve"> - по п/э мешкам - 10,9 млн шт.</t>
  </si>
  <si>
    <t xml:space="preserve"> - по п/э мешкам - 11,9 млн шт.</t>
  </si>
  <si>
    <t xml:space="preserve"> - по катализаторам - 0,0946 тыс. т</t>
  </si>
  <si>
    <t xml:space="preserve"> - по катализаторам - 0,1605 тыс. т</t>
  </si>
  <si>
    <t>Производство (Выработка)</t>
  </si>
  <si>
    <t>(тыс. тонн)</t>
  </si>
  <si>
    <t>Production (Output)</t>
  </si>
  <si>
    <t>(000 tonnes)</t>
  </si>
  <si>
    <r>
      <t>Straight nitrogen fertilisers</t>
    </r>
    <r>
      <rPr>
        <sz val="12"/>
        <color indexed="8"/>
        <rFont val="Arial"/>
        <family val="2"/>
      </rPr>
      <t xml:space="preserve">, </t>
    </r>
    <r>
      <rPr>
        <i/>
        <sz val="12"/>
        <color indexed="8"/>
        <rFont val="Arial"/>
        <family val="2"/>
      </rPr>
      <t>including</t>
    </r>
    <r>
      <rPr>
        <sz val="12"/>
        <color indexed="8"/>
        <rFont val="Arial"/>
        <family val="2"/>
      </rPr>
      <t xml:space="preserve">: </t>
    </r>
  </si>
  <si>
    <r>
      <t xml:space="preserve">Азотные удобрения, </t>
    </r>
    <r>
      <rPr>
        <i/>
        <sz val="12"/>
        <color indexed="8"/>
        <rFont val="Arial"/>
        <family val="2"/>
      </rPr>
      <t>включая:</t>
    </r>
  </si>
  <si>
    <t xml:space="preserve">Ammonia </t>
  </si>
  <si>
    <t xml:space="preserve">Ammonium nitrate </t>
  </si>
  <si>
    <t>Аммиачная селитра</t>
  </si>
  <si>
    <t xml:space="preserve">Urea </t>
  </si>
  <si>
    <t>Карбамид</t>
  </si>
  <si>
    <t xml:space="preserve">Urea-ammonium nitrate (UAN) </t>
  </si>
  <si>
    <t>Карбамидо-аммиачная смесь (КАС)</t>
  </si>
  <si>
    <r>
      <t xml:space="preserve">Сложные удобрения, </t>
    </r>
    <r>
      <rPr>
        <i/>
        <sz val="12"/>
        <color indexed="8"/>
        <rFont val="Arial"/>
        <family val="2"/>
      </rPr>
      <t>включая:</t>
    </r>
  </si>
  <si>
    <r>
      <t>NPK</t>
    </r>
    <r>
      <rPr>
        <sz val="12"/>
        <color indexed="8"/>
        <rFont val="Times New Roman"/>
        <family val="1"/>
      </rPr>
      <t xml:space="preserve"> </t>
    </r>
  </si>
  <si>
    <t>NPK (Азофоска)</t>
  </si>
  <si>
    <t xml:space="preserve">NP </t>
  </si>
  <si>
    <t>NP (Нитроаммофос)</t>
  </si>
  <si>
    <t>Bulk blends</t>
  </si>
  <si>
    <r>
      <t xml:space="preserve">Organic synthesis products, </t>
    </r>
    <r>
      <rPr>
        <i/>
        <sz val="12"/>
        <color indexed="8"/>
        <rFont val="Arial"/>
        <family val="2"/>
      </rPr>
      <t>including:</t>
    </r>
  </si>
  <si>
    <r>
      <t xml:space="preserve">Продукция органического синтеза, </t>
    </r>
    <r>
      <rPr>
        <i/>
        <sz val="12"/>
        <color indexed="8"/>
        <rFont val="Arial"/>
        <family val="2"/>
      </rPr>
      <t>включая:</t>
    </r>
  </si>
  <si>
    <t xml:space="preserve">Methanol </t>
  </si>
  <si>
    <t>Метанол</t>
  </si>
  <si>
    <t xml:space="preserve">Formaldehyde </t>
  </si>
  <si>
    <t>Формалин</t>
  </si>
  <si>
    <t xml:space="preserve">Urea-formaldehyde concentrate (UFC) </t>
  </si>
  <si>
    <t>Карбамидо-формальдегидный концентрат (КФК)</t>
  </si>
  <si>
    <t xml:space="preserve">Urea-formaldehyde resins (UFR) </t>
  </si>
  <si>
    <t>Карбамидо-формальдегидные смолы (КФС)</t>
  </si>
  <si>
    <t xml:space="preserve">Low-density and industrial ammonium nitrate </t>
  </si>
  <si>
    <t>Пористая и техническая аммиачная селитра</t>
  </si>
  <si>
    <t xml:space="preserve">Calcium carbonate </t>
  </si>
  <si>
    <t xml:space="preserve">Liquid carbon dioxide </t>
  </si>
  <si>
    <t>Жидкая углекислота</t>
  </si>
  <si>
    <t xml:space="preserve">Argon </t>
  </si>
  <si>
    <t>Аргон</t>
  </si>
  <si>
    <t xml:space="preserve">Hydrochloric acid </t>
  </si>
  <si>
    <t>Соляная кислота</t>
  </si>
  <si>
    <t xml:space="preserve"> - по аммиачной селитре и азофоске - передачу на сухие смеси и на КАС;</t>
  </si>
  <si>
    <t xml:space="preserve"> - по карбамиду- передачу на производство КАС и  карбамидные смолы.</t>
  </si>
  <si>
    <t>В консолидированной отгрузке аммиака  и карбамида учтены взаимные поставки.</t>
  </si>
  <si>
    <t>в т.ч. внутреннее потребление</t>
  </si>
  <si>
    <t>Внутреннее потребление по видам продукции включает:</t>
  </si>
  <si>
    <t>Acron (Velikiy Novgorod site)</t>
  </si>
  <si>
    <t>Dorogobuzh (Smolensk region site)</t>
  </si>
  <si>
    <t xml:space="preserve"> - по продукции огрганического синтеза -   использование этой продукции внутри предприятия ;</t>
  </si>
  <si>
    <t>Дорогобуж (Смоленская обл.)</t>
  </si>
  <si>
    <t>incl. own use</t>
  </si>
  <si>
    <t>MAP</t>
  </si>
  <si>
    <t>Change, %</t>
  </si>
  <si>
    <t>Изменение, %</t>
  </si>
  <si>
    <t>Аммофос</t>
  </si>
  <si>
    <t>incl. inhouse consumption</t>
  </si>
  <si>
    <t xml:space="preserve">Straight nitrogen fertilisers, including: </t>
  </si>
  <si>
    <t xml:space="preserve">NPK </t>
  </si>
  <si>
    <t>1Q 2010</t>
  </si>
  <si>
    <t>1Q 2009</t>
  </si>
  <si>
    <t>2Q 2009</t>
  </si>
  <si>
    <t>3Q 2009</t>
  </si>
  <si>
    <t>4Q 2009</t>
  </si>
  <si>
    <t>Всего товарной продукции</t>
  </si>
  <si>
    <t>Total merchant output / sales</t>
  </si>
  <si>
    <t>Own use by products include:</t>
  </si>
  <si>
    <t xml:space="preserve"> - organic synthesis products: use of these products for processing needs;</t>
  </si>
  <si>
    <t xml:space="preserve"> - ammonium nitrate and NPK: use for bulk blends</t>
  </si>
  <si>
    <t xml:space="preserve"> - urea: for UAN and UFR production </t>
  </si>
  <si>
    <t>Ammonia and urea shipment exclude intercompany</t>
  </si>
  <si>
    <t>Notes</t>
  </si>
  <si>
    <t>Примечания</t>
  </si>
  <si>
    <r>
      <t>Nitrogen fertilisers</t>
    </r>
    <r>
      <rPr>
        <sz val="12"/>
        <color indexed="8"/>
        <rFont val="Arial"/>
        <family val="2"/>
      </rPr>
      <t xml:space="preserve">, </t>
    </r>
    <r>
      <rPr>
        <i/>
        <sz val="12"/>
        <color indexed="8"/>
        <rFont val="Arial"/>
        <family val="2"/>
      </rPr>
      <t>including</t>
    </r>
    <r>
      <rPr>
        <sz val="12"/>
        <color indexed="8"/>
        <rFont val="Arial"/>
        <family val="2"/>
      </rPr>
      <t xml:space="preserve">: </t>
    </r>
  </si>
  <si>
    <t>AN</t>
  </si>
  <si>
    <t>UAN</t>
  </si>
  <si>
    <r>
      <t>Complex fertilisers,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including:</t>
    </r>
  </si>
  <si>
    <t>Cмешанные удобрения</t>
  </si>
  <si>
    <r>
      <t xml:space="preserve">Organic compounds, </t>
    </r>
    <r>
      <rPr>
        <i/>
        <sz val="12"/>
        <color indexed="8"/>
        <rFont val="Arial"/>
        <family val="2"/>
      </rPr>
      <t>including:</t>
    </r>
  </si>
  <si>
    <r>
      <t xml:space="preserve">Non-organic compounds, </t>
    </r>
    <r>
      <rPr>
        <i/>
        <sz val="12"/>
        <color indexed="8"/>
        <rFont val="Arial"/>
        <family val="2"/>
      </rPr>
      <t>including:</t>
    </r>
    <r>
      <rPr>
        <sz val="12"/>
        <color indexed="8"/>
        <rFont val="Arial"/>
        <family val="2"/>
      </rPr>
      <t xml:space="preserve"> </t>
    </r>
  </si>
  <si>
    <t>Formalin</t>
  </si>
  <si>
    <t>Карбамидоформальдегидные смолы (КФС)</t>
  </si>
  <si>
    <r>
      <t xml:space="preserve">Продукция неорганической химии, </t>
    </r>
    <r>
      <rPr>
        <i/>
        <sz val="12"/>
        <color indexed="8"/>
        <rFont val="Arial"/>
        <family val="2"/>
      </rPr>
      <t>включая:</t>
    </r>
  </si>
  <si>
    <t>Low-density and technical-grade AN</t>
  </si>
  <si>
    <t xml:space="preserve">UFRs </t>
  </si>
  <si>
    <t xml:space="preserve">Nitrogen fertilisers, including: </t>
  </si>
  <si>
    <t xml:space="preserve">UAN </t>
  </si>
  <si>
    <t>Смешанные удобрения</t>
  </si>
  <si>
    <t>Complex fertilisers, including:</t>
  </si>
  <si>
    <r>
      <t xml:space="preserve">Organic compounds, </t>
    </r>
    <r>
      <rPr>
        <sz val="12"/>
        <color indexed="8"/>
        <rFont val="Arial"/>
        <family val="2"/>
      </rPr>
      <t>including:</t>
    </r>
  </si>
  <si>
    <t>Карбамидформальдегидные смолы (КФС)</t>
  </si>
  <si>
    <t>Organic compounds, including:</t>
  </si>
  <si>
    <t>2Q 2010</t>
  </si>
  <si>
    <t>3Q 2010</t>
  </si>
  <si>
    <t>Азофоска</t>
  </si>
  <si>
    <t>4Q 2010</t>
  </si>
  <si>
    <t>1Q 2011</t>
  </si>
  <si>
    <t>2Q 2011</t>
  </si>
  <si>
    <t>3Q 2011</t>
  </si>
  <si>
    <t>4Q 2011</t>
  </si>
  <si>
    <t>1Q 2012</t>
  </si>
  <si>
    <t>2Q 2012</t>
  </si>
  <si>
    <t>Азофоска/NPK</t>
  </si>
  <si>
    <t>3Q 2012</t>
  </si>
  <si>
    <t>NWPC (Oleniy Ruchey, Murmansk region)</t>
  </si>
  <si>
    <t>СЗФК (Олений ручей, Мурманская обл.)</t>
  </si>
  <si>
    <t>Apatite concentrate</t>
  </si>
  <si>
    <t>Апатитовый концентрат</t>
  </si>
  <si>
    <t>Руда</t>
  </si>
  <si>
    <t>Ore</t>
  </si>
  <si>
    <t>4Q 2012</t>
  </si>
  <si>
    <t>Справочно</t>
  </si>
  <si>
    <t>Reference data</t>
  </si>
  <si>
    <t>внутреннее потребление</t>
  </si>
  <si>
    <t>отгрузка третьим лицам</t>
  </si>
  <si>
    <t>sales to third parties</t>
  </si>
  <si>
    <t>1Q 2013</t>
  </si>
  <si>
    <t>2Q 2013</t>
  </si>
  <si>
    <t>3Q 2013</t>
  </si>
  <si>
    <t>4Q 2013</t>
  </si>
  <si>
    <t>Group's Sales</t>
  </si>
  <si>
    <t>9m 2013</t>
  </si>
  <si>
    <t>Фактическая отгрузка Группы</t>
  </si>
  <si>
    <t>Отгрузка заводов</t>
  </si>
  <si>
    <t>Plants shipment</t>
  </si>
  <si>
    <t>6m 2013</t>
  </si>
  <si>
    <t>12m 2013</t>
  </si>
  <si>
    <t>Отгрузка завода Акрон</t>
  </si>
  <si>
    <t>Acron's plant shipment</t>
  </si>
  <si>
    <t>Отгрузка завода Дорогобуж</t>
  </si>
  <si>
    <t>Dorogobuzh's plant shipment</t>
  </si>
  <si>
    <t>Отгрузка завода Хунжи-Акрон</t>
  </si>
  <si>
    <t>Shipment of Oleniy Ruchey</t>
  </si>
  <si>
    <t>Total merchant output / sales excluding apatite concentrate</t>
  </si>
  <si>
    <t>Total merchant output / sales of apatite concentrate</t>
  </si>
  <si>
    <t>Main products production and Sales</t>
  </si>
  <si>
    <r>
      <t>Apatite ore</t>
    </r>
    <r>
      <rPr>
        <sz val="12"/>
        <color indexed="8"/>
        <rFont val="Arial"/>
        <family val="2"/>
      </rPr>
      <t>, including:</t>
    </r>
  </si>
  <si>
    <t>Всего товарной продукции апатитового концентрата</t>
  </si>
  <si>
    <r>
      <t>Апатитовая руда</t>
    </r>
    <r>
      <rPr>
        <sz val="12"/>
        <color indexed="8"/>
        <rFont val="Arial"/>
        <family val="2"/>
      </rPr>
      <t>, включая:</t>
    </r>
  </si>
  <si>
    <t>Производство и отгрузка основных продуктов</t>
  </si>
  <si>
    <t>Отгрузка СЗФК</t>
  </si>
  <si>
    <t>Total merchant output / sales of main products</t>
  </si>
  <si>
    <t>Всего товарной продукции по основным продуктам</t>
  </si>
  <si>
    <t>Конечные продажи Группы</t>
  </si>
  <si>
    <t>* в т.ч. 9 тыс. т. - переходящие остатки на 2013 год</t>
  </si>
  <si>
    <t>NPK*</t>
  </si>
  <si>
    <t>** в т.ч. 9 тыс. т. - переходящие остатки на 2013 год</t>
  </si>
  <si>
    <t>* По данной строке отражены сложные удобрения NPK, изготовленные химическим способом или методом паровой грануляции</t>
  </si>
  <si>
    <t>1Q 2014</t>
  </si>
  <si>
    <t>Всего товарной продукции за исключением апатитового концентрата</t>
  </si>
  <si>
    <t>2Q 2014</t>
  </si>
  <si>
    <t>6m 2014</t>
  </si>
  <si>
    <t>3Q 2014</t>
  </si>
  <si>
    <t>9m 2014</t>
  </si>
  <si>
    <t>4Q 2014</t>
  </si>
  <si>
    <r>
      <t>Сложные удобрения</t>
    </r>
    <r>
      <rPr>
        <sz val="12"/>
        <color indexed="8"/>
        <rFont val="Arial"/>
        <family val="2"/>
      </rPr>
      <t xml:space="preserve">, </t>
    </r>
    <r>
      <rPr>
        <i/>
        <sz val="12"/>
        <color indexed="8"/>
        <rFont val="Arial"/>
        <family val="2"/>
      </rPr>
      <t>включая:</t>
    </r>
  </si>
  <si>
    <r>
      <t>Complex fertilisers</t>
    </r>
    <r>
      <rPr>
        <sz val="12"/>
        <color indexed="8"/>
        <rFont val="Arial"/>
        <family val="2"/>
      </rPr>
      <t>, including:</t>
    </r>
  </si>
  <si>
    <r>
      <t>Nitrogen fertilisers</t>
    </r>
    <r>
      <rPr>
        <sz val="12"/>
        <color indexed="8"/>
        <rFont val="Arial"/>
        <family val="2"/>
      </rPr>
      <t xml:space="preserve">, including: </t>
    </r>
  </si>
  <si>
    <t>12m 2014</t>
  </si>
  <si>
    <t>1Q 2015</t>
  </si>
  <si>
    <t>6m 2015</t>
  </si>
  <si>
    <t>2Q 2015</t>
  </si>
  <si>
    <t>3Q 2015</t>
  </si>
  <si>
    <t>4Q 2015</t>
  </si>
  <si>
    <t>9m 2015</t>
  </si>
  <si>
    <t>12m 2015</t>
  </si>
  <si>
    <t>Hongri Acron's plant shipment</t>
  </si>
  <si>
    <t>1Q 2016</t>
  </si>
  <si>
    <t>2Q 2016</t>
  </si>
  <si>
    <t>6m 2016</t>
  </si>
  <si>
    <t>Всего по Группе Акрон без Хунжи</t>
  </si>
  <si>
    <t>Acron Group Total excl. Hongri</t>
  </si>
  <si>
    <t>3Q 2016</t>
  </si>
  <si>
    <t>9m 2016</t>
  </si>
  <si>
    <t>3Q 2016*</t>
  </si>
  <si>
    <t>Acron Group total excl. Hongri</t>
  </si>
  <si>
    <t>12m 2016</t>
  </si>
  <si>
    <t>4Q 2016</t>
  </si>
  <si>
    <t>4Q 2016*</t>
  </si>
  <si>
    <t>Всего по Группе Акрон (вкл. Хунжи)</t>
  </si>
  <si>
    <t>Acron Group total (incl. Hongri)</t>
  </si>
  <si>
    <t>Acron Group Total (incl. Hongri)</t>
  </si>
  <si>
    <t>1Q 2017</t>
  </si>
  <si>
    <t>6m 2017</t>
  </si>
  <si>
    <t>2Q 2017</t>
  </si>
  <si>
    <t>Hongri Acron (Shandong, China)*</t>
  </si>
  <si>
    <t>Хунжи-Акрон (Провинция Шаньдун, КНР)*</t>
  </si>
  <si>
    <t>* с 1 августа Хунжи-Акрон деконсолидирован из Группы Акрон;</t>
  </si>
  <si>
    <t>* company has been deconsolidated since August 1, 2016</t>
  </si>
  <si>
    <t>3Q 2017</t>
  </si>
  <si>
    <t>9m 2017</t>
  </si>
  <si>
    <t>4Q 2017</t>
  </si>
  <si>
    <t>12m 2017</t>
  </si>
  <si>
    <t>Карбамид для промышленности</t>
  </si>
  <si>
    <t>Industrial urea</t>
  </si>
  <si>
    <t>Промышленный карбамид</t>
  </si>
  <si>
    <t>* from 2015 industrial urea separated from urea</t>
  </si>
  <si>
    <t>* С 2015г из карбамида выделен промышленный карбамид</t>
  </si>
  <si>
    <t>1Q 2018</t>
  </si>
  <si>
    <t>2Q 2018</t>
  </si>
  <si>
    <t>6m 2018</t>
  </si>
  <si>
    <t>3Q 2018</t>
  </si>
  <si>
    <t>9m 2018</t>
  </si>
  <si>
    <t>4Q 2018</t>
  </si>
  <si>
    <t>ПАО "Акрон" (г. Великий Новгород)</t>
  </si>
  <si>
    <t>12m 2018</t>
  </si>
  <si>
    <t>1Q 2019</t>
  </si>
  <si>
    <t>Всего по Группе "Акрон" без Хунжи</t>
  </si>
  <si>
    <t>Акрон (г. Великий Новгород)</t>
  </si>
  <si>
    <t>2Q 2019</t>
  </si>
  <si>
    <t>6m 2019</t>
  </si>
  <si>
    <t>3Q 2019</t>
  </si>
  <si>
    <t>9m 2019</t>
  </si>
  <si>
    <t>4Q 2019</t>
  </si>
  <si>
    <t>12m 2019</t>
  </si>
  <si>
    <t>1Q 2020</t>
  </si>
  <si>
    <t>2Q 2020</t>
  </si>
  <si>
    <t>6m 2020</t>
  </si>
  <si>
    <t>3Q 2020</t>
  </si>
  <si>
    <t>9m 2020</t>
  </si>
  <si>
    <t>4Q 2020</t>
  </si>
  <si>
    <t>в т.ч. карбамид гранулированный</t>
  </si>
  <si>
    <t>в т.ч. карбамид приллированный</t>
  </si>
  <si>
    <t>incl. urea prilled</t>
  </si>
  <si>
    <t>incl. urea granulated</t>
  </si>
  <si>
    <t>12m 2020</t>
  </si>
  <si>
    <t>1Q 2021</t>
  </si>
  <si>
    <t>2Q 2021</t>
  </si>
  <si>
    <t>6m 2021</t>
  </si>
  <si>
    <t>3Q 2021</t>
  </si>
  <si>
    <t>9m 2021</t>
  </si>
  <si>
    <t>4Q 2021</t>
  </si>
  <si>
    <t>12m 2021</t>
  </si>
  <si>
    <t>1Q 2022</t>
  </si>
  <si>
    <t>2Q 2022</t>
  </si>
  <si>
    <t>CN</t>
  </si>
  <si>
    <t>Нитрат кальция (кальциевая селитра)</t>
  </si>
  <si>
    <t>6m 2022</t>
  </si>
  <si>
    <t>3Q 2022</t>
  </si>
  <si>
    <t>Industrial CN</t>
  </si>
  <si>
    <t>Нитрат кальция (кальциевая селитра) для пром.</t>
  </si>
  <si>
    <t>9m 2022</t>
  </si>
  <si>
    <t>рост</t>
  </si>
  <si>
    <t>4Q 2022</t>
  </si>
  <si>
    <t>12m 2022</t>
  </si>
  <si>
    <t>1Q 2023</t>
  </si>
  <si>
    <t>2Q 2023</t>
  </si>
  <si>
    <t>6m 2023</t>
  </si>
  <si>
    <t>3Q 2023</t>
  </si>
  <si>
    <t>Валовый выпуск основных продуктов</t>
  </si>
  <si>
    <t>Main products gross output</t>
  </si>
  <si>
    <t>Gross output</t>
  </si>
  <si>
    <t>Валовый выпуск</t>
  </si>
  <si>
    <t>Аммиачная селитра (раствор в пересчете на 100% селитры)</t>
  </si>
  <si>
    <t>в т.ч. раствор аммиачной селитры с других производств</t>
  </si>
  <si>
    <t>incl. ammonium nitrate solution from other production facilities</t>
  </si>
  <si>
    <t>AN (solution in terms of 100% nitrate)</t>
  </si>
  <si>
    <t>Карбамид (раствор в пересчете на 100% карбамида)</t>
  </si>
  <si>
    <t>Urea (solution in terms of 100% urea)</t>
  </si>
  <si>
    <t>9m 2023</t>
  </si>
  <si>
    <t>снижение</t>
  </si>
  <si>
    <t>4Q 2023</t>
  </si>
  <si>
    <t>4Q 2024</t>
  </si>
  <si>
    <t>Note: from 2015 industrial urea separated from agricultural urea</t>
  </si>
  <si>
    <t>Примечание: С 2015г из карбамида выделен промышленный карбамид</t>
  </si>
  <si>
    <t>Влияние товарного аммиака**</t>
  </si>
  <si>
    <t>Всего товарной продукции по основным продуктам (публикация)</t>
  </si>
  <si>
    <t>Total merchant output / sales of main products (disclosure)</t>
  </si>
  <si>
    <t>Commercial ammonia impact**</t>
  </si>
  <si>
    <t>** при условии, что товарный аммиак не может быть отрицательным</t>
  </si>
  <si>
    <t>on provision that commercial ammonia is not negative</t>
  </si>
  <si>
    <t>Commercial ammonia impact</t>
  </si>
  <si>
    <t>Влияние товарного аммиака</t>
  </si>
  <si>
    <t>12m 2023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</si>
</sst>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_-* #,##0.0_р_._-;\-* #,##0.0_р_._-;_-* &quot;-&quot;??_р_._-;_-@_-"/>
    <numFmt numFmtId="186" formatCode="#,##0.0_р_."/>
    <numFmt numFmtId="187" formatCode="#,##0.00_р_."/>
    <numFmt numFmtId="188" formatCode="#,##0_р_."/>
    <numFmt numFmtId="189" formatCode="_-* #,##0_р_._-;\-* #,##0_р_._-;_-* &quot;-&quot;??_р_._-;_-@_-"/>
    <numFmt numFmtId="190" formatCode="_-* #,##0.0_р_._-;\-* #,##0.0_р_._-;_-* &quot;-&quot;?_р_._-;_-@_-"/>
    <numFmt numFmtId="191" formatCode="_-* #,##0.000_р_._-;\-* #,##0.000_р_._-;_-* &quot;-&quot;??_р_._-;_-@_-"/>
    <numFmt numFmtId="192" formatCode="#,##0.000_р_."/>
    <numFmt numFmtId="193" formatCode="#,##0.0000_р_."/>
    <numFmt numFmtId="194" formatCode="#,##0.00000_р_."/>
    <numFmt numFmtId="195" formatCode="#,##0.000000_р_."/>
    <numFmt numFmtId="196" formatCode="_-* #,##0.0000_р_._-;\-* #,##0.0000_р_._-;_-* &quot;-&quot;??_р_._-;_-@_-"/>
    <numFmt numFmtId="197" formatCode="_-* #,##0.00000_р_._-;\-* #,##0.00000_р_._-;_-* &quot;-&quot;??_р_._-;_-@_-"/>
    <numFmt numFmtId="198" formatCode="[$-FC19]d\ mmmm\ yyyy\ &quot;г.&quot;"/>
    <numFmt numFmtId="199" formatCode="0.0%"/>
    <numFmt numFmtId="200" formatCode="#,##0.0"/>
    <numFmt numFmtId="201" formatCode="0.00000"/>
    <numFmt numFmtId="202" formatCode="#,##0.000"/>
    <numFmt numFmtId="203" formatCode="_-* #,##0.0\ _₽_-;\-* #,##0.0\ _₽_-;_-* &quot;-&quot;?\ _₽_-;_-@_-"/>
    <numFmt numFmtId="204" formatCode="#,##0.00_ ;\-#,##0.00\ 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"/>
    <numFmt numFmtId="210" formatCode="#,##0.0000000_р_."/>
    <numFmt numFmtId="211" formatCode="#,##0.00000000"/>
    <numFmt numFmtId="212" formatCode="0.000%"/>
    <numFmt numFmtId="213" formatCode="0.0000%"/>
    <numFmt numFmtId="214" formatCode="#,##0.000000"/>
    <numFmt numFmtId="215" formatCode="0.000000"/>
    <numFmt numFmtId="216" formatCode="#,##0.0000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b/>
      <sz val="8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1"/>
      <color indexed="10"/>
      <name val="Arial Cyr"/>
      <family val="2"/>
    </font>
    <font>
      <sz val="9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4" fillId="3" borderId="0" applyNumberFormat="0" applyBorder="0" applyAlignment="0" applyProtection="0"/>
    <xf numFmtId="0" fontId="47" fillId="4" borderId="0" applyNumberFormat="0" applyBorder="0" applyAlignment="0" applyProtection="0"/>
    <xf numFmtId="0" fontId="44" fillId="5" borderId="0" applyNumberFormat="0" applyBorder="0" applyAlignment="0" applyProtection="0"/>
    <xf numFmtId="0" fontId="47" fillId="6" borderId="0" applyNumberFormat="0" applyBorder="0" applyAlignment="0" applyProtection="0"/>
    <xf numFmtId="0" fontId="44" fillId="7" borderId="0" applyNumberFormat="0" applyBorder="0" applyAlignment="0" applyProtection="0"/>
    <xf numFmtId="0" fontId="47" fillId="8" borderId="0" applyNumberFormat="0" applyBorder="0" applyAlignment="0" applyProtection="0"/>
    <xf numFmtId="0" fontId="44" fillId="9" borderId="0" applyNumberFormat="0" applyBorder="0" applyAlignment="0" applyProtection="0"/>
    <xf numFmtId="0" fontId="47" fillId="10" borderId="0" applyNumberFormat="0" applyBorder="0" applyAlignment="0" applyProtection="0"/>
    <xf numFmtId="0" fontId="44" fillId="11" borderId="0" applyNumberFormat="0" applyBorder="0" applyAlignment="0" applyProtection="0"/>
    <xf numFmtId="0" fontId="47" fillId="12" borderId="0" applyNumberFormat="0" applyBorder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44" fillId="15" borderId="0" applyNumberFormat="0" applyBorder="0" applyAlignment="0" applyProtection="0"/>
    <xf numFmtId="0" fontId="47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7" fillId="20" borderId="0" applyNumberFormat="0" applyBorder="0" applyAlignment="0" applyProtection="0"/>
    <xf numFmtId="0" fontId="44" fillId="9" borderId="0" applyNumberFormat="0" applyBorder="0" applyAlignment="0" applyProtection="0"/>
    <xf numFmtId="0" fontId="47" fillId="21" borderId="0" applyNumberFormat="0" applyBorder="0" applyAlignment="0" applyProtection="0"/>
    <xf numFmtId="0" fontId="44" fillId="15" borderId="0" applyNumberFormat="0" applyBorder="0" applyAlignment="0" applyProtection="0"/>
    <xf numFmtId="0" fontId="47" fillId="22" borderId="0" applyNumberFormat="0" applyBorder="0" applyAlignment="0" applyProtection="0"/>
    <xf numFmtId="0" fontId="44" fillId="23" borderId="0" applyNumberFormat="0" applyBorder="0" applyAlignment="0" applyProtection="0"/>
    <xf numFmtId="0" fontId="48" fillId="24" borderId="0" applyNumberFormat="0" applyBorder="0" applyAlignment="0" applyProtection="0"/>
    <xf numFmtId="0" fontId="24" fillId="25" borderId="0" applyNumberFormat="0" applyBorder="0" applyAlignment="0" applyProtection="0"/>
    <xf numFmtId="0" fontId="48" fillId="26" borderId="0" applyNumberFormat="0" applyBorder="0" applyAlignment="0" applyProtection="0"/>
    <xf numFmtId="0" fontId="24" fillId="17" borderId="0" applyNumberFormat="0" applyBorder="0" applyAlignment="0" applyProtection="0"/>
    <xf numFmtId="0" fontId="48" fillId="27" borderId="0" applyNumberFormat="0" applyBorder="0" applyAlignment="0" applyProtection="0"/>
    <xf numFmtId="0" fontId="24" fillId="19" borderId="0" applyNumberFormat="0" applyBorder="0" applyAlignment="0" applyProtection="0"/>
    <xf numFmtId="0" fontId="48" fillId="28" borderId="0" applyNumberFormat="0" applyBorder="0" applyAlignment="0" applyProtection="0"/>
    <xf numFmtId="0" fontId="24" fillId="29" borderId="0" applyNumberFormat="0" applyBorder="0" applyAlignment="0" applyProtection="0"/>
    <xf numFmtId="0" fontId="48" fillId="30" borderId="0" applyNumberFormat="0" applyBorder="0" applyAlignment="0" applyProtection="0"/>
    <xf numFmtId="0" fontId="24" fillId="31" borderId="0" applyNumberFormat="0" applyBorder="0" applyAlignment="0" applyProtection="0"/>
    <xf numFmtId="0" fontId="48" fillId="32" borderId="0" applyNumberFormat="0" applyBorder="0" applyAlignment="0" applyProtection="0"/>
    <xf numFmtId="0" fontId="24" fillId="33" borderId="0" applyNumberFormat="0" applyBorder="0" applyAlignment="0" applyProtection="0"/>
    <xf numFmtId="0" fontId="48" fillId="34" borderId="0" applyNumberFormat="0" applyBorder="0" applyAlignment="0" applyProtection="0"/>
    <xf numFmtId="0" fontId="24" fillId="35" borderId="0" applyNumberFormat="0" applyBorder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48" fillId="38" borderId="0" applyNumberFormat="0" applyBorder="0" applyAlignment="0" applyProtection="0"/>
    <xf numFmtId="0" fontId="24" fillId="39" borderId="0" applyNumberFormat="0" applyBorder="0" applyAlignment="0" applyProtection="0"/>
    <xf numFmtId="0" fontId="48" fillId="40" borderId="0" applyNumberFormat="0" applyBorder="0" applyAlignment="0" applyProtection="0"/>
    <xf numFmtId="0" fontId="24" fillId="29" borderId="0" applyNumberFormat="0" applyBorder="0" applyAlignment="0" applyProtection="0"/>
    <xf numFmtId="0" fontId="48" fillId="41" borderId="0" applyNumberFormat="0" applyBorder="0" applyAlignment="0" applyProtection="0"/>
    <xf numFmtId="0" fontId="24" fillId="31" borderId="0" applyNumberFormat="0" applyBorder="0" applyAlignment="0" applyProtection="0"/>
    <xf numFmtId="0" fontId="48" fillId="42" borderId="0" applyNumberFormat="0" applyBorder="0" applyAlignment="0" applyProtection="0"/>
    <xf numFmtId="0" fontId="24" fillId="43" borderId="0" applyNumberFormat="0" applyBorder="0" applyAlignment="0" applyProtection="0"/>
    <xf numFmtId="0" fontId="49" fillId="44" borderId="1" applyNumberFormat="0" applyAlignment="0" applyProtection="0"/>
    <xf numFmtId="0" fontId="25" fillId="13" borderId="2" applyNumberFormat="0" applyAlignment="0" applyProtection="0"/>
    <xf numFmtId="0" fontId="50" fillId="45" borderId="3" applyNumberFormat="0" applyAlignment="0" applyProtection="0"/>
    <xf numFmtId="0" fontId="26" fillId="46" borderId="4" applyNumberFormat="0" applyAlignment="0" applyProtection="0"/>
    <xf numFmtId="0" fontId="51" fillId="45" borderId="1" applyNumberFormat="0" applyAlignment="0" applyProtection="0"/>
    <xf numFmtId="0" fontId="27" fillId="46" borderId="2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7" applyNumberFormat="0" applyFill="0" applyAlignment="0" applyProtection="0"/>
    <xf numFmtId="0" fontId="29" fillId="0" borderId="8" applyNumberFormat="0" applyFill="0" applyAlignment="0" applyProtection="0"/>
    <xf numFmtId="0" fontId="55" fillId="0" borderId="9" applyNumberFormat="0" applyFill="0" applyAlignment="0" applyProtection="0"/>
    <xf numFmtId="0" fontId="30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31" fillId="0" borderId="12" applyNumberFormat="0" applyFill="0" applyAlignment="0" applyProtection="0"/>
    <xf numFmtId="0" fontId="57" fillId="47" borderId="13" applyNumberFormat="0" applyAlignment="0" applyProtection="0"/>
    <xf numFmtId="0" fontId="32" fillId="48" borderId="14" applyNumberFormat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34" fillId="50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35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37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54" borderId="0" applyNumberFormat="0" applyBorder="0" applyAlignment="0" applyProtection="0"/>
    <xf numFmtId="0" fontId="39" fillId="7" borderId="0" applyNumberFormat="0" applyBorder="0" applyAlignment="0" applyProtection="0"/>
  </cellStyleXfs>
  <cellXfs count="66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186" fontId="4" fillId="0" borderId="28" xfId="10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86" fontId="4" fillId="0" borderId="19" xfId="10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left"/>
    </xf>
    <xf numFmtId="186" fontId="4" fillId="0" borderId="30" xfId="102" applyNumberFormat="1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185" fontId="6" fillId="0" borderId="33" xfId="102" applyNumberFormat="1" applyFont="1" applyBorder="1" applyAlignment="1">
      <alignment horizontal="right"/>
    </xf>
    <xf numFmtId="185" fontId="6" fillId="0" borderId="34" xfId="102" applyNumberFormat="1" applyFont="1" applyBorder="1" applyAlignment="1">
      <alignment horizontal="right"/>
    </xf>
    <xf numFmtId="185" fontId="6" fillId="0" borderId="34" xfId="102" applyNumberFormat="1" applyFont="1" applyBorder="1" applyAlignment="1">
      <alignment horizontal="center"/>
    </xf>
    <xf numFmtId="185" fontId="6" fillId="0" borderId="28" xfId="102" applyNumberFormat="1" applyFont="1" applyBorder="1" applyAlignment="1">
      <alignment horizontal="right"/>
    </xf>
    <xf numFmtId="185" fontId="6" fillId="0" borderId="35" xfId="102" applyNumberFormat="1" applyFont="1" applyBorder="1" applyAlignment="1">
      <alignment horizontal="right"/>
    </xf>
    <xf numFmtId="185" fontId="6" fillId="0" borderId="36" xfId="102" applyNumberFormat="1" applyFont="1" applyBorder="1" applyAlignment="1">
      <alignment horizontal="right"/>
    </xf>
    <xf numFmtId="185" fontId="6" fillId="0" borderId="36" xfId="102" applyNumberFormat="1" applyFont="1" applyBorder="1" applyAlignment="1">
      <alignment horizontal="center"/>
    </xf>
    <xf numFmtId="185" fontId="6" fillId="0" borderId="31" xfId="102" applyNumberFormat="1" applyFont="1" applyBorder="1" applyAlignment="1">
      <alignment horizontal="center"/>
    </xf>
    <xf numFmtId="185" fontId="6" fillId="0" borderId="32" xfId="102" applyNumberFormat="1" applyFont="1" applyBorder="1" applyAlignment="1">
      <alignment horizontal="center"/>
    </xf>
    <xf numFmtId="185" fontId="8" fillId="0" borderId="34" xfId="102" applyNumberFormat="1" applyFont="1" applyBorder="1" applyAlignment="1">
      <alignment horizontal="center"/>
    </xf>
    <xf numFmtId="185" fontId="8" fillId="0" borderId="32" xfId="102" applyNumberFormat="1" applyFont="1" applyBorder="1" applyAlignment="1">
      <alignment horizontal="center"/>
    </xf>
    <xf numFmtId="185" fontId="8" fillId="0" borderId="33" xfId="102" applyNumberFormat="1" applyFont="1" applyBorder="1" applyAlignment="1">
      <alignment horizontal="center"/>
    </xf>
    <xf numFmtId="185" fontId="8" fillId="0" borderId="36" xfId="102" applyNumberFormat="1" applyFont="1" applyBorder="1" applyAlignment="1">
      <alignment horizontal="center"/>
    </xf>
    <xf numFmtId="185" fontId="8" fillId="0" borderId="34" xfId="102" applyNumberFormat="1" applyFont="1" applyBorder="1" applyAlignment="1">
      <alignment horizontal="right"/>
    </xf>
    <xf numFmtId="185" fontId="6" fillId="0" borderId="33" xfId="102" applyNumberFormat="1" applyFont="1" applyBorder="1" applyAlignment="1">
      <alignment horizontal="center"/>
    </xf>
    <xf numFmtId="185" fontId="6" fillId="0" borderId="37" xfId="102" applyNumberFormat="1" applyFont="1" applyBorder="1" applyAlignment="1">
      <alignment horizontal="right"/>
    </xf>
    <xf numFmtId="185" fontId="6" fillId="0" borderId="38" xfId="102" applyNumberFormat="1" applyFont="1" applyBorder="1" applyAlignment="1">
      <alignment horizontal="right"/>
    </xf>
    <xf numFmtId="185" fontId="6" fillId="0" borderId="19" xfId="102" applyNumberFormat="1" applyFont="1" applyBorder="1" applyAlignment="1">
      <alignment horizontal="right"/>
    </xf>
    <xf numFmtId="185" fontId="6" fillId="0" borderId="39" xfId="102" applyNumberFormat="1" applyFont="1" applyBorder="1" applyAlignment="1">
      <alignment horizontal="right"/>
    </xf>
    <xf numFmtId="185" fontId="6" fillId="0" borderId="40" xfId="102" applyNumberFormat="1" applyFont="1" applyBorder="1" applyAlignment="1">
      <alignment horizontal="right"/>
    </xf>
    <xf numFmtId="185" fontId="6" fillId="0" borderId="30" xfId="102" applyNumberFormat="1" applyFont="1" applyBorder="1" applyAlignment="1">
      <alignment horizontal="center"/>
    </xf>
    <xf numFmtId="190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190" fontId="3" fillId="0" borderId="0" xfId="0" applyNumberFormat="1" applyFont="1" applyAlignment="1">
      <alignment horizontal="center"/>
    </xf>
    <xf numFmtId="186" fontId="6" fillId="0" borderId="38" xfId="102" applyNumberFormat="1" applyFont="1" applyBorder="1" applyAlignment="1">
      <alignment horizontal="right"/>
    </xf>
    <xf numFmtId="185" fontId="5" fillId="0" borderId="28" xfId="102" applyNumberFormat="1" applyFont="1" applyBorder="1" applyAlignment="1">
      <alignment horizontal="right"/>
    </xf>
    <xf numFmtId="185" fontId="5" fillId="0" borderId="19" xfId="102" applyNumberFormat="1" applyFont="1" applyBorder="1" applyAlignment="1">
      <alignment horizontal="right"/>
    </xf>
    <xf numFmtId="185" fontId="5" fillId="0" borderId="30" xfId="102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0" fillId="0" borderId="0" xfId="0" applyNumberFormat="1" applyFont="1" applyAlignment="1">
      <alignment vertical="center"/>
    </xf>
    <xf numFmtId="189" fontId="15" fillId="0" borderId="0" xfId="0" applyNumberFormat="1" applyFont="1" applyAlignment="1">
      <alignment vertical="center" wrapText="1"/>
    </xf>
    <xf numFmtId="185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89" fontId="11" fillId="0" borderId="0" xfId="0" applyNumberFormat="1" applyFont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188" fontId="10" fillId="0" borderId="34" xfId="0" applyNumberFormat="1" applyFont="1" applyBorder="1" applyAlignment="1">
      <alignment horizontal="center" vertical="center"/>
    </xf>
    <xf numFmtId="188" fontId="10" fillId="0" borderId="41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right" vertical="center"/>
    </xf>
    <xf numFmtId="188" fontId="10" fillId="0" borderId="34" xfId="0" applyNumberFormat="1" applyFont="1" applyBorder="1" applyAlignment="1">
      <alignment horizontal="right" vertical="center"/>
    </xf>
    <xf numFmtId="188" fontId="10" fillId="0" borderId="41" xfId="0" applyNumberFormat="1" applyFont="1" applyBorder="1" applyAlignment="1">
      <alignment horizontal="right" vertical="center"/>
    </xf>
    <xf numFmtId="188" fontId="10" fillId="7" borderId="34" xfId="0" applyNumberFormat="1" applyFont="1" applyFill="1" applyBorder="1" applyAlignment="1">
      <alignment horizontal="center" vertical="center"/>
    </xf>
    <xf numFmtId="188" fontId="10" fillId="7" borderId="41" xfId="0" applyNumberFormat="1" applyFont="1" applyFill="1" applyBorder="1" applyAlignment="1">
      <alignment horizontal="center" vertical="center"/>
    </xf>
    <xf numFmtId="188" fontId="10" fillId="55" borderId="42" xfId="0" applyNumberFormat="1" applyFont="1" applyFill="1" applyBorder="1" applyAlignment="1">
      <alignment horizontal="right" vertical="center"/>
    </xf>
    <xf numFmtId="188" fontId="10" fillId="55" borderId="34" xfId="0" applyNumberFormat="1" applyFont="1" applyFill="1" applyBorder="1" applyAlignment="1">
      <alignment horizontal="right" vertical="center"/>
    </xf>
    <xf numFmtId="188" fontId="10" fillId="55" borderId="41" xfId="0" applyNumberFormat="1" applyFont="1" applyFill="1" applyBorder="1" applyAlignment="1">
      <alignment horizontal="right" vertical="center"/>
    </xf>
    <xf numFmtId="188" fontId="10" fillId="7" borderId="42" xfId="0" applyNumberFormat="1" applyFont="1" applyFill="1" applyBorder="1" applyAlignment="1">
      <alignment horizontal="right" vertical="center"/>
    </xf>
    <xf numFmtId="188" fontId="10" fillId="7" borderId="34" xfId="0" applyNumberFormat="1" applyFont="1" applyFill="1" applyBorder="1" applyAlignment="1">
      <alignment horizontal="right" vertical="center"/>
    </xf>
    <xf numFmtId="188" fontId="10" fillId="7" borderId="41" xfId="0" applyNumberFormat="1" applyFont="1" applyFill="1" applyBorder="1" applyAlignment="1">
      <alignment horizontal="right" vertical="center"/>
    </xf>
    <xf numFmtId="188" fontId="10" fillId="7" borderId="32" xfId="0" applyNumberFormat="1" applyFont="1" applyFill="1" applyBorder="1" applyAlignment="1">
      <alignment horizontal="right" vertical="center"/>
    </xf>
    <xf numFmtId="188" fontId="10" fillId="56" borderId="34" xfId="0" applyNumberFormat="1" applyFont="1" applyFill="1" applyBorder="1" applyAlignment="1">
      <alignment vertical="center"/>
    </xf>
    <xf numFmtId="188" fontId="10" fillId="56" borderId="41" xfId="0" applyNumberFormat="1" applyFont="1" applyFill="1" applyBorder="1" applyAlignment="1">
      <alignment vertical="center"/>
    </xf>
    <xf numFmtId="188" fontId="10" fillId="55" borderId="42" xfId="0" applyNumberFormat="1" applyFont="1" applyFill="1" applyBorder="1" applyAlignment="1">
      <alignment vertical="center"/>
    </xf>
    <xf numFmtId="188" fontId="10" fillId="55" borderId="34" xfId="0" applyNumberFormat="1" applyFont="1" applyFill="1" applyBorder="1" applyAlignment="1">
      <alignment vertical="center"/>
    </xf>
    <xf numFmtId="188" fontId="10" fillId="55" borderId="41" xfId="0" applyNumberFormat="1" applyFont="1" applyFill="1" applyBorder="1" applyAlignment="1">
      <alignment vertical="center"/>
    </xf>
    <xf numFmtId="186" fontId="11" fillId="0" borderId="0" xfId="0" applyNumberFormat="1" applyFont="1" applyAlignment="1">
      <alignment vertical="center"/>
    </xf>
    <xf numFmtId="188" fontId="10" fillId="57" borderId="34" xfId="0" applyNumberFormat="1" applyFont="1" applyFill="1" applyBorder="1" applyAlignment="1">
      <alignment vertical="center"/>
    </xf>
    <xf numFmtId="188" fontId="10" fillId="58" borderId="3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1" fillId="57" borderId="34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right" vertical="center" wrapText="1"/>
    </xf>
    <xf numFmtId="188" fontId="16" fillId="0" borderId="34" xfId="0" applyNumberFormat="1" applyFont="1" applyBorder="1" applyAlignment="1">
      <alignment horizontal="center" vertical="center"/>
    </xf>
    <xf numFmtId="188" fontId="16" fillId="0" borderId="41" xfId="0" applyNumberFormat="1" applyFont="1" applyBorder="1" applyAlignment="1">
      <alignment horizontal="center" vertical="center"/>
    </xf>
    <xf numFmtId="188" fontId="16" fillId="0" borderId="42" xfId="0" applyNumberFormat="1" applyFont="1" applyBorder="1" applyAlignment="1">
      <alignment horizontal="center" vertical="center"/>
    </xf>
    <xf numFmtId="188" fontId="17" fillId="56" borderId="34" xfId="0" applyNumberFormat="1" applyFont="1" applyFill="1" applyBorder="1" applyAlignment="1">
      <alignment vertical="center"/>
    </xf>
    <xf numFmtId="188" fontId="17" fillId="56" borderId="41" xfId="0" applyNumberFormat="1" applyFont="1" applyFill="1" applyBorder="1" applyAlignment="1">
      <alignment vertical="center"/>
    </xf>
    <xf numFmtId="188" fontId="17" fillId="55" borderId="42" xfId="0" applyNumberFormat="1" applyFont="1" applyFill="1" applyBorder="1" applyAlignment="1">
      <alignment vertical="center"/>
    </xf>
    <xf numFmtId="188" fontId="17" fillId="55" borderId="34" xfId="0" applyNumberFormat="1" applyFont="1" applyFill="1" applyBorder="1" applyAlignment="1">
      <alignment vertical="center"/>
    </xf>
    <xf numFmtId="188" fontId="17" fillId="55" borderId="41" xfId="0" applyNumberFormat="1" applyFont="1" applyFill="1" applyBorder="1" applyAlignment="1">
      <alignment vertical="center"/>
    </xf>
    <xf numFmtId="188" fontId="11" fillId="57" borderId="34" xfId="0" applyNumberFormat="1" applyFont="1" applyFill="1" applyBorder="1" applyAlignment="1">
      <alignment vertical="center"/>
    </xf>
    <xf numFmtId="188" fontId="11" fillId="58" borderId="34" xfId="0" applyNumberFormat="1" applyFont="1" applyFill="1" applyBorder="1" applyAlignment="1">
      <alignment vertical="center"/>
    </xf>
    <xf numFmtId="188" fontId="16" fillId="56" borderId="34" xfId="0" applyNumberFormat="1" applyFont="1" applyFill="1" applyBorder="1" applyAlignment="1">
      <alignment vertical="center"/>
    </xf>
    <xf numFmtId="188" fontId="16" fillId="56" borderId="41" xfId="0" applyNumberFormat="1" applyFont="1" applyFill="1" applyBorder="1" applyAlignment="1">
      <alignment vertical="center"/>
    </xf>
    <xf numFmtId="188" fontId="16" fillId="55" borderId="42" xfId="0" applyNumberFormat="1" applyFont="1" applyFill="1" applyBorder="1" applyAlignment="1">
      <alignment vertical="center"/>
    </xf>
    <xf numFmtId="188" fontId="16" fillId="55" borderId="34" xfId="0" applyNumberFormat="1" applyFont="1" applyFill="1" applyBorder="1" applyAlignment="1">
      <alignment vertical="center"/>
    </xf>
    <xf numFmtId="188" fontId="16" fillId="55" borderId="41" xfId="0" applyNumberFormat="1" applyFont="1" applyFill="1" applyBorder="1" applyAlignment="1">
      <alignment vertical="center"/>
    </xf>
    <xf numFmtId="0" fontId="12" fillId="0" borderId="34" xfId="0" applyFont="1" applyBorder="1" applyAlignment="1">
      <alignment horizontal="justify" vertical="center" wrapText="1"/>
    </xf>
    <xf numFmtId="0" fontId="12" fillId="0" borderId="34" xfId="0" applyFont="1" applyBorder="1" applyAlignment="1">
      <alignment horizontal="justify" vertical="center" wrapText="1"/>
    </xf>
    <xf numFmtId="188" fontId="11" fillId="0" borderId="34" xfId="0" applyNumberFormat="1" applyFont="1" applyBorder="1" applyAlignment="1">
      <alignment horizontal="center" vertical="center"/>
    </xf>
    <xf numFmtId="188" fontId="11" fillId="0" borderId="41" xfId="0" applyNumberFormat="1" applyFont="1" applyBorder="1" applyAlignment="1">
      <alignment horizontal="center" vertical="center"/>
    </xf>
    <xf numFmtId="188" fontId="11" fillId="0" borderId="42" xfId="0" applyNumberFormat="1" applyFont="1" applyBorder="1" applyAlignment="1">
      <alignment horizontal="center" vertical="center"/>
    </xf>
    <xf numFmtId="188" fontId="11" fillId="56" borderId="34" xfId="0" applyNumberFormat="1" applyFont="1" applyFill="1" applyBorder="1" applyAlignment="1">
      <alignment vertical="center"/>
    </xf>
    <xf numFmtId="188" fontId="11" fillId="56" borderId="41" xfId="0" applyNumberFormat="1" applyFont="1" applyFill="1" applyBorder="1" applyAlignment="1">
      <alignment vertical="center"/>
    </xf>
    <xf numFmtId="188" fontId="11" fillId="55" borderId="42" xfId="0" applyNumberFormat="1" applyFont="1" applyFill="1" applyBorder="1" applyAlignment="1">
      <alignment vertical="center"/>
    </xf>
    <xf numFmtId="188" fontId="11" fillId="55" borderId="34" xfId="0" applyNumberFormat="1" applyFont="1" applyFill="1" applyBorder="1" applyAlignment="1">
      <alignment vertical="center"/>
    </xf>
    <xf numFmtId="188" fontId="11" fillId="55" borderId="41" xfId="0" applyNumberFormat="1" applyFont="1" applyFill="1" applyBorder="1" applyAlignment="1">
      <alignment vertical="center"/>
    </xf>
    <xf numFmtId="188" fontId="16" fillId="57" borderId="34" xfId="0" applyNumberFormat="1" applyFont="1" applyFill="1" applyBorder="1" applyAlignment="1">
      <alignment vertical="center"/>
    </xf>
    <xf numFmtId="188" fontId="16" fillId="0" borderId="0" xfId="0" applyNumberFormat="1" applyFont="1" applyAlignment="1">
      <alignment vertical="center"/>
    </xf>
    <xf numFmtId="188" fontId="16" fillId="58" borderId="34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185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200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0" fontId="21" fillId="0" borderId="43" xfId="0" applyFont="1" applyBorder="1" applyAlignment="1">
      <alignment horizontal="justify" vertical="center" wrapText="1"/>
    </xf>
    <xf numFmtId="0" fontId="12" fillId="0" borderId="34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center" vertical="center"/>
    </xf>
    <xf numFmtId="189" fontId="10" fillId="0" borderId="34" xfId="0" applyNumberFormat="1" applyFont="1" applyBorder="1" applyAlignment="1">
      <alignment horizontal="center" vertical="center"/>
    </xf>
    <xf numFmtId="188" fontId="16" fillId="7" borderId="34" xfId="0" applyNumberFormat="1" applyFont="1" applyFill="1" applyBorder="1" applyAlignment="1">
      <alignment horizontal="center" vertical="center"/>
    </xf>
    <xf numFmtId="188" fontId="16" fillId="7" borderId="41" xfId="0" applyNumberFormat="1" applyFont="1" applyFill="1" applyBorder="1" applyAlignment="1">
      <alignment horizontal="center" vertical="center"/>
    </xf>
    <xf numFmtId="188" fontId="16" fillId="55" borderId="42" xfId="0" applyNumberFormat="1" applyFont="1" applyFill="1" applyBorder="1" applyAlignment="1">
      <alignment horizontal="right" vertical="center"/>
    </xf>
    <xf numFmtId="188" fontId="16" fillId="55" borderId="34" xfId="0" applyNumberFormat="1" applyFont="1" applyFill="1" applyBorder="1" applyAlignment="1">
      <alignment horizontal="right" vertical="center"/>
    </xf>
    <xf numFmtId="188" fontId="16" fillId="55" borderId="41" xfId="0" applyNumberFormat="1" applyFont="1" applyFill="1" applyBorder="1" applyAlignment="1">
      <alignment horizontal="right" vertical="center"/>
    </xf>
    <xf numFmtId="188" fontId="16" fillId="7" borderId="42" xfId="0" applyNumberFormat="1" applyFont="1" applyFill="1" applyBorder="1" applyAlignment="1">
      <alignment horizontal="right" vertical="center"/>
    </xf>
    <xf numFmtId="188" fontId="16" fillId="7" borderId="34" xfId="0" applyNumberFormat="1" applyFont="1" applyFill="1" applyBorder="1" applyAlignment="1">
      <alignment horizontal="right" vertical="center"/>
    </xf>
    <xf numFmtId="188" fontId="17" fillId="7" borderId="41" xfId="0" applyNumberFormat="1" applyFont="1" applyFill="1" applyBorder="1" applyAlignment="1">
      <alignment horizontal="right" vertical="center"/>
    </xf>
    <xf numFmtId="188" fontId="17" fillId="7" borderId="42" xfId="0" applyNumberFormat="1" applyFont="1" applyFill="1" applyBorder="1" applyAlignment="1">
      <alignment horizontal="right" vertical="center"/>
    </xf>
    <xf numFmtId="188" fontId="17" fillId="7" borderId="34" xfId="0" applyNumberFormat="1" applyFont="1" applyFill="1" applyBorder="1" applyAlignment="1">
      <alignment horizontal="right" vertical="center"/>
    </xf>
    <xf numFmtId="188" fontId="17" fillId="7" borderId="3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89" fontId="11" fillId="0" borderId="34" xfId="0" applyNumberFormat="1" applyFont="1" applyBorder="1" applyAlignment="1">
      <alignment horizontal="right" vertical="center"/>
    </xf>
    <xf numFmtId="188" fontId="11" fillId="7" borderId="34" xfId="0" applyNumberFormat="1" applyFont="1" applyFill="1" applyBorder="1" applyAlignment="1">
      <alignment horizontal="center" vertical="center"/>
    </xf>
    <xf numFmtId="188" fontId="11" fillId="7" borderId="41" xfId="0" applyNumberFormat="1" applyFont="1" applyFill="1" applyBorder="1" applyAlignment="1">
      <alignment horizontal="center" vertical="center"/>
    </xf>
    <xf numFmtId="188" fontId="11" fillId="55" borderId="42" xfId="0" applyNumberFormat="1" applyFont="1" applyFill="1" applyBorder="1" applyAlignment="1">
      <alignment horizontal="right" vertical="center"/>
    </xf>
    <xf numFmtId="188" fontId="11" fillId="55" borderId="34" xfId="0" applyNumberFormat="1" applyFont="1" applyFill="1" applyBorder="1" applyAlignment="1">
      <alignment horizontal="right" vertical="center"/>
    </xf>
    <xf numFmtId="188" fontId="11" fillId="55" borderId="41" xfId="0" applyNumberFormat="1" applyFont="1" applyFill="1" applyBorder="1" applyAlignment="1">
      <alignment horizontal="right" vertical="center"/>
    </xf>
    <xf numFmtId="188" fontId="11" fillId="7" borderId="42" xfId="0" applyNumberFormat="1" applyFont="1" applyFill="1" applyBorder="1" applyAlignment="1">
      <alignment horizontal="right" vertical="center"/>
    </xf>
    <xf numFmtId="188" fontId="11" fillId="7" borderId="34" xfId="0" applyNumberFormat="1" applyFont="1" applyFill="1" applyBorder="1" applyAlignment="1">
      <alignment horizontal="right" vertical="center"/>
    </xf>
    <xf numFmtId="188" fontId="11" fillId="7" borderId="41" xfId="0" applyNumberFormat="1" applyFont="1" applyFill="1" applyBorder="1" applyAlignment="1">
      <alignment horizontal="right" vertical="center"/>
    </xf>
    <xf numFmtId="188" fontId="11" fillId="7" borderId="32" xfId="0" applyNumberFormat="1" applyFont="1" applyFill="1" applyBorder="1" applyAlignment="1">
      <alignment horizontal="right" vertical="center"/>
    </xf>
    <xf numFmtId="188" fontId="11" fillId="0" borderId="44" xfId="0" applyNumberFormat="1" applyFont="1" applyBorder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6" fontId="11" fillId="55" borderId="42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7" borderId="42" xfId="0" applyFont="1" applyFill="1" applyBorder="1" applyAlignment="1">
      <alignment horizontal="center" vertical="center"/>
    </xf>
    <xf numFmtId="192" fontId="10" fillId="7" borderId="34" xfId="0" applyNumberFormat="1" applyFont="1" applyFill="1" applyBorder="1" applyAlignment="1">
      <alignment horizontal="center" vertical="center"/>
    </xf>
    <xf numFmtId="187" fontId="10" fillId="55" borderId="34" xfId="0" applyNumberFormat="1" applyFont="1" applyFill="1" applyBorder="1" applyAlignment="1">
      <alignment horizontal="right" vertical="center"/>
    </xf>
    <xf numFmtId="192" fontId="10" fillId="7" borderId="42" xfId="0" applyNumberFormat="1" applyFont="1" applyFill="1" applyBorder="1" applyAlignment="1">
      <alignment horizontal="right" vertical="center"/>
    </xf>
    <xf numFmtId="192" fontId="10" fillId="7" borderId="34" xfId="0" applyNumberFormat="1" applyFont="1" applyFill="1" applyBorder="1" applyAlignment="1">
      <alignment horizontal="right" vertical="center"/>
    </xf>
    <xf numFmtId="188" fontId="16" fillId="0" borderId="42" xfId="0" applyNumberFormat="1" applyFont="1" applyBorder="1" applyAlignment="1">
      <alignment horizontal="right" vertical="center"/>
    </xf>
    <xf numFmtId="188" fontId="16" fillId="0" borderId="34" xfId="0" applyNumberFormat="1" applyFont="1" applyBorder="1" applyAlignment="1">
      <alignment horizontal="right" vertical="center"/>
    </xf>
    <xf numFmtId="188" fontId="16" fillId="0" borderId="41" xfId="0" applyNumberFormat="1" applyFont="1" applyBorder="1" applyAlignment="1">
      <alignment horizontal="right" vertical="center"/>
    </xf>
    <xf numFmtId="188" fontId="11" fillId="0" borderId="41" xfId="0" applyNumberFormat="1" applyFont="1" applyBorder="1" applyAlignment="1">
      <alignment horizontal="right" vertical="center"/>
    </xf>
    <xf numFmtId="188" fontId="11" fillId="0" borderId="42" xfId="0" applyNumberFormat="1" applyFont="1" applyBorder="1" applyAlignment="1">
      <alignment horizontal="right" vertical="center"/>
    </xf>
    <xf numFmtId="188" fontId="11" fillId="0" borderId="34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 wrapText="1"/>
    </xf>
    <xf numFmtId="186" fontId="10" fillId="0" borderId="0" xfId="0" applyNumberFormat="1" applyFont="1" applyAlignment="1">
      <alignment horizontal="right" vertical="center"/>
    </xf>
    <xf numFmtId="188" fontId="10" fillId="0" borderId="44" xfId="0" applyNumberFormat="1" applyFont="1" applyBorder="1" applyAlignment="1">
      <alignment horizontal="right" vertical="center"/>
    </xf>
    <xf numFmtId="188" fontId="10" fillId="0" borderId="0" xfId="0" applyNumberFormat="1" applyFont="1" applyAlignment="1">
      <alignment horizontal="right" vertical="center"/>
    </xf>
    <xf numFmtId="188" fontId="11" fillId="55" borderId="44" xfId="0" applyNumberFormat="1" applyFont="1" applyFill="1" applyBorder="1" applyAlignment="1">
      <alignment horizontal="right" vertical="center"/>
    </xf>
    <xf numFmtId="1" fontId="10" fillId="7" borderId="41" xfId="0" applyNumberFormat="1" applyFont="1" applyFill="1" applyBorder="1" applyAlignment="1">
      <alignment horizontal="right" vertical="center"/>
    </xf>
    <xf numFmtId="0" fontId="16" fillId="7" borderId="41" xfId="0" applyFont="1" applyFill="1" applyBorder="1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1" fontId="16" fillId="7" borderId="41" xfId="0" applyNumberFormat="1" applyFont="1" applyFill="1" applyBorder="1" applyAlignment="1">
      <alignment horizontal="right" vertical="center"/>
    </xf>
    <xf numFmtId="1" fontId="16" fillId="7" borderId="42" xfId="0" applyNumberFormat="1" applyFont="1" applyFill="1" applyBorder="1" applyAlignment="1">
      <alignment horizontal="right" vertical="center"/>
    </xf>
    <xf numFmtId="1" fontId="16" fillId="7" borderId="34" xfId="0" applyNumberFormat="1" applyFont="1" applyFill="1" applyBorder="1" applyAlignment="1">
      <alignment horizontal="right" vertical="center"/>
    </xf>
    <xf numFmtId="1" fontId="16" fillId="7" borderId="32" xfId="0" applyNumberFormat="1" applyFont="1" applyFill="1" applyBorder="1" applyAlignment="1">
      <alignment horizontal="right" vertical="center"/>
    </xf>
    <xf numFmtId="1" fontId="11" fillId="7" borderId="42" xfId="0" applyNumberFormat="1" applyFont="1" applyFill="1" applyBorder="1" applyAlignment="1">
      <alignment horizontal="right" vertical="center"/>
    </xf>
    <xf numFmtId="1" fontId="11" fillId="7" borderId="34" xfId="0" applyNumberFormat="1" applyFont="1" applyFill="1" applyBorder="1" applyAlignment="1">
      <alignment horizontal="right" vertical="center"/>
    </xf>
    <xf numFmtId="1" fontId="11" fillId="7" borderId="32" xfId="0" applyNumberFormat="1" applyFont="1" applyFill="1" applyBorder="1" applyAlignment="1">
      <alignment horizontal="right" vertical="center"/>
    </xf>
    <xf numFmtId="188" fontId="10" fillId="56" borderId="42" xfId="0" applyNumberFormat="1" applyFont="1" applyFill="1" applyBorder="1" applyAlignment="1">
      <alignment horizontal="right" vertical="center"/>
    </xf>
    <xf numFmtId="188" fontId="10" fillId="56" borderId="34" xfId="0" applyNumberFormat="1" applyFont="1" applyFill="1" applyBorder="1" applyAlignment="1">
      <alignment horizontal="right" vertical="center"/>
    </xf>
    <xf numFmtId="1" fontId="10" fillId="7" borderId="34" xfId="0" applyNumberFormat="1" applyFont="1" applyFill="1" applyBorder="1" applyAlignment="1">
      <alignment horizontal="right" vertical="center"/>
    </xf>
    <xf numFmtId="1" fontId="10" fillId="7" borderId="4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9" fontId="11" fillId="7" borderId="34" xfId="0" applyNumberFormat="1" applyFont="1" applyFill="1" applyBorder="1" applyAlignment="1">
      <alignment horizontal="center" vertical="center"/>
    </xf>
    <xf numFmtId="9" fontId="16" fillId="0" borderId="33" xfId="0" applyNumberFormat="1" applyFont="1" applyBorder="1" applyAlignment="1">
      <alignment horizontal="center" vertical="center"/>
    </xf>
    <xf numFmtId="189" fontId="10" fillId="7" borderId="34" xfId="0" applyNumberFormat="1" applyFont="1" applyFill="1" applyBorder="1" applyAlignment="1">
      <alignment horizontal="center" vertical="center"/>
    </xf>
    <xf numFmtId="9" fontId="16" fillId="7" borderId="34" xfId="96" applyFont="1" applyFill="1" applyBorder="1" applyAlignment="1">
      <alignment horizontal="center" vertical="center"/>
    </xf>
    <xf numFmtId="189" fontId="10" fillId="57" borderId="34" xfId="0" applyNumberFormat="1" applyFont="1" applyFill="1" applyBorder="1" applyAlignment="1">
      <alignment horizontal="center" vertical="center"/>
    </xf>
    <xf numFmtId="9" fontId="16" fillId="57" borderId="34" xfId="96" applyFont="1" applyFill="1" applyBorder="1" applyAlignment="1">
      <alignment horizontal="center" vertical="center"/>
    </xf>
    <xf numFmtId="189" fontId="16" fillId="0" borderId="34" xfId="0" applyNumberFormat="1" applyFont="1" applyBorder="1" applyAlignment="1">
      <alignment horizontal="center" vertical="center"/>
    </xf>
    <xf numFmtId="189" fontId="17" fillId="7" borderId="34" xfId="0" applyNumberFormat="1" applyFont="1" applyFill="1" applyBorder="1" applyAlignment="1">
      <alignment horizontal="center" vertical="center"/>
    </xf>
    <xf numFmtId="189" fontId="17" fillId="57" borderId="34" xfId="0" applyNumberFormat="1" applyFont="1" applyFill="1" applyBorder="1" applyAlignment="1">
      <alignment horizontal="center" vertical="center"/>
    </xf>
    <xf numFmtId="189" fontId="16" fillId="7" borderId="34" xfId="0" applyNumberFormat="1" applyFont="1" applyFill="1" applyBorder="1" applyAlignment="1">
      <alignment horizontal="center" vertical="center"/>
    </xf>
    <xf numFmtId="189" fontId="16" fillId="57" borderId="34" xfId="0" applyNumberFormat="1" applyFont="1" applyFill="1" applyBorder="1" applyAlignment="1">
      <alignment horizontal="center" vertical="center"/>
    </xf>
    <xf numFmtId="189" fontId="11" fillId="0" borderId="34" xfId="0" applyNumberFormat="1" applyFont="1" applyBorder="1" applyAlignment="1">
      <alignment horizontal="center" vertical="center"/>
    </xf>
    <xf numFmtId="189" fontId="11" fillId="0" borderId="46" xfId="0" applyNumberFormat="1" applyFont="1" applyBorder="1" applyAlignment="1">
      <alignment horizontal="center" vertical="center"/>
    </xf>
    <xf numFmtId="189" fontId="11" fillId="57" borderId="34" xfId="0" applyNumberFormat="1" applyFont="1" applyFill="1" applyBorder="1" applyAlignment="1">
      <alignment horizontal="center" vertical="center"/>
    </xf>
    <xf numFmtId="189" fontId="16" fillId="0" borderId="46" xfId="0" applyNumberFormat="1" applyFont="1" applyBorder="1" applyAlignment="1">
      <alignment horizontal="center" vertical="center"/>
    </xf>
    <xf numFmtId="189" fontId="10" fillId="0" borderId="46" xfId="0" applyNumberFormat="1" applyFont="1" applyBorder="1" applyAlignment="1">
      <alignment horizontal="center" vertical="center"/>
    </xf>
    <xf numFmtId="185" fontId="16" fillId="0" borderId="34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9" fontId="16" fillId="0" borderId="0" xfId="96" applyFont="1" applyAlignment="1">
      <alignment horizontal="center" vertical="center"/>
    </xf>
    <xf numFmtId="189" fontId="11" fillId="0" borderId="43" xfId="0" applyNumberFormat="1" applyFont="1" applyBorder="1" applyAlignment="1">
      <alignment horizontal="center" vertical="center"/>
    </xf>
    <xf numFmtId="9" fontId="16" fillId="0" borderId="43" xfId="0" applyNumberFormat="1" applyFont="1" applyBorder="1" applyAlignment="1">
      <alignment horizontal="center" vertical="center"/>
    </xf>
    <xf numFmtId="9" fontId="16" fillId="0" borderId="43" xfId="96" applyFont="1" applyBorder="1" applyAlignment="1">
      <alignment horizontal="center" vertical="center"/>
    </xf>
    <xf numFmtId="9" fontId="11" fillId="7" borderId="34" xfId="96" applyFont="1" applyFill="1" applyBorder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189" fontId="15" fillId="0" borderId="0" xfId="0" applyNumberFormat="1" applyFont="1" applyAlignment="1">
      <alignment horizontal="justify" vertical="center" wrapText="1"/>
    </xf>
    <xf numFmtId="189" fontId="10" fillId="0" borderId="0" xfId="0" applyNumberFormat="1" applyFont="1" applyAlignment="1">
      <alignment horizontal="left" vertical="center"/>
    </xf>
    <xf numFmtId="189" fontId="10" fillId="7" borderId="34" xfId="0" applyNumberFormat="1" applyFont="1" applyFill="1" applyBorder="1" applyAlignment="1">
      <alignment horizontal="right" vertical="center"/>
    </xf>
    <xf numFmtId="9" fontId="16" fillId="0" borderId="34" xfId="0" applyNumberFormat="1" applyFont="1" applyBorder="1" applyAlignment="1">
      <alignment horizontal="center" vertical="center"/>
    </xf>
    <xf numFmtId="189" fontId="16" fillId="7" borderId="34" xfId="0" applyNumberFormat="1" applyFont="1" applyFill="1" applyBorder="1" applyAlignment="1">
      <alignment horizontal="right" vertical="center"/>
    </xf>
    <xf numFmtId="188" fontId="10" fillId="0" borderId="34" xfId="102" applyNumberFormat="1" applyFont="1" applyBorder="1" applyAlignment="1">
      <alignment horizontal="right" vertical="center"/>
    </xf>
    <xf numFmtId="189" fontId="11" fillId="7" borderId="34" xfId="0" applyNumberFormat="1" applyFont="1" applyFill="1" applyBorder="1" applyAlignment="1">
      <alignment horizontal="right" vertical="center"/>
    </xf>
    <xf numFmtId="1" fontId="11" fillId="0" borderId="34" xfId="0" applyNumberFormat="1" applyFont="1" applyBorder="1" applyAlignment="1">
      <alignment horizontal="center" vertical="center"/>
    </xf>
    <xf numFmtId="185" fontId="11" fillId="0" borderId="34" xfId="0" applyNumberFormat="1" applyFont="1" applyBorder="1" applyAlignment="1">
      <alignment horizontal="center" vertical="center"/>
    </xf>
    <xf numFmtId="186" fontId="11" fillId="0" borderId="34" xfId="0" applyNumberFormat="1" applyFont="1" applyBorder="1" applyAlignment="1">
      <alignment horizontal="right" vertical="center"/>
    </xf>
    <xf numFmtId="186" fontId="11" fillId="7" borderId="3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89" fontId="10" fillId="0" borderId="34" xfId="0" applyNumberFormat="1" applyFont="1" applyBorder="1" applyAlignment="1">
      <alignment vertical="center"/>
    </xf>
    <xf numFmtId="189" fontId="16" fillId="0" borderId="34" xfId="0" applyNumberFormat="1" applyFont="1" applyBorder="1" applyAlignment="1">
      <alignment vertical="center"/>
    </xf>
    <xf numFmtId="189" fontId="11" fillId="0" borderId="34" xfId="0" applyNumberFormat="1" applyFont="1" applyBorder="1" applyAlignment="1">
      <alignment vertical="center"/>
    </xf>
    <xf numFmtId="188" fontId="11" fillId="0" borderId="34" xfId="0" applyNumberFormat="1" applyFont="1" applyBorder="1" applyAlignment="1">
      <alignment vertical="center"/>
    </xf>
    <xf numFmtId="188" fontId="10" fillId="0" borderId="4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188" fontId="16" fillId="0" borderId="42" xfId="0" applyNumberFormat="1" applyFont="1" applyBorder="1" applyAlignment="1">
      <alignment vertical="center"/>
    </xf>
    <xf numFmtId="188" fontId="16" fillId="0" borderId="34" xfId="0" applyNumberFormat="1" applyFont="1" applyBorder="1" applyAlignment="1">
      <alignment vertical="center"/>
    </xf>
    <xf numFmtId="188" fontId="16" fillId="0" borderId="41" xfId="0" applyNumberFormat="1" applyFont="1" applyBorder="1" applyAlignment="1">
      <alignment vertical="center"/>
    </xf>
    <xf numFmtId="188" fontId="11" fillId="0" borderId="42" xfId="0" applyNumberFormat="1" applyFont="1" applyBorder="1" applyAlignment="1">
      <alignment vertical="center"/>
    </xf>
    <xf numFmtId="188" fontId="11" fillId="0" borderId="41" xfId="0" applyNumberFormat="1" applyFont="1" applyBorder="1" applyAlignment="1">
      <alignment vertical="center"/>
    </xf>
    <xf numFmtId="188" fontId="10" fillId="7" borderId="42" xfId="0" applyNumberFormat="1" applyFont="1" applyFill="1" applyBorder="1" applyAlignment="1">
      <alignment vertical="center"/>
    </xf>
    <xf numFmtId="188" fontId="17" fillId="7" borderId="42" xfId="0" applyNumberFormat="1" applyFont="1" applyFill="1" applyBorder="1" applyAlignment="1">
      <alignment vertical="center"/>
    </xf>
    <xf numFmtId="188" fontId="11" fillId="7" borderId="42" xfId="0" applyNumberFormat="1" applyFont="1" applyFill="1" applyBorder="1" applyAlignment="1">
      <alignment vertical="center"/>
    </xf>
    <xf numFmtId="189" fontId="16" fillId="0" borderId="32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vertical="center"/>
    </xf>
    <xf numFmtId="189" fontId="11" fillId="0" borderId="32" xfId="0" applyNumberFormat="1" applyFont="1" applyBorder="1" applyAlignment="1">
      <alignment vertical="center"/>
    </xf>
    <xf numFmtId="188" fontId="11" fillId="0" borderId="32" xfId="0" applyNumberFormat="1" applyFont="1" applyBorder="1" applyAlignment="1">
      <alignment vertical="center"/>
    </xf>
    <xf numFmtId="188" fontId="16" fillId="0" borderId="32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189" fontId="10" fillId="0" borderId="42" xfId="0" applyNumberFormat="1" applyFont="1" applyBorder="1" applyAlignment="1">
      <alignment vertical="center"/>
    </xf>
    <xf numFmtId="189" fontId="16" fillId="0" borderId="42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horizontal="right" vertical="center"/>
    </xf>
    <xf numFmtId="188" fontId="16" fillId="0" borderId="32" xfId="0" applyNumberFormat="1" applyFont="1" applyBorder="1" applyAlignment="1">
      <alignment horizontal="right" vertical="center"/>
    </xf>
    <xf numFmtId="188" fontId="11" fillId="0" borderId="32" xfId="0" applyNumberFormat="1" applyFont="1" applyBorder="1" applyAlignment="1">
      <alignment horizontal="right" vertical="center"/>
    </xf>
    <xf numFmtId="188" fontId="11" fillId="0" borderId="47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185" fontId="11" fillId="7" borderId="34" xfId="0" applyNumberFormat="1" applyFont="1" applyFill="1" applyBorder="1" applyAlignment="1">
      <alignment horizontal="right" vertical="center"/>
    </xf>
    <xf numFmtId="0" fontId="0" fillId="59" borderId="0" xfId="0" applyFill="1" applyAlignment="1">
      <alignment vertical="center"/>
    </xf>
    <xf numFmtId="0" fontId="10" fillId="57" borderId="3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56" borderId="34" xfId="0" applyFont="1" applyFill="1" applyBorder="1" applyAlignment="1">
      <alignment horizontal="center" vertical="center"/>
    </xf>
    <xf numFmtId="189" fontId="15" fillId="60" borderId="34" xfId="0" applyNumberFormat="1" applyFont="1" applyFill="1" applyBorder="1" applyAlignment="1">
      <alignment horizontal="justify" vertical="center" wrapText="1"/>
    </xf>
    <xf numFmtId="188" fontId="10" fillId="60" borderId="34" xfId="0" applyNumberFormat="1" applyFont="1" applyFill="1" applyBorder="1" applyAlignment="1">
      <alignment vertical="center"/>
    </xf>
    <xf numFmtId="189" fontId="11" fillId="61" borderId="34" xfId="0" applyNumberFormat="1" applyFont="1" applyFill="1" applyBorder="1" applyAlignment="1">
      <alignment horizontal="center" vertical="center"/>
    </xf>
    <xf numFmtId="188" fontId="10" fillId="61" borderId="34" xfId="0" applyNumberFormat="1" applyFont="1" applyFill="1" applyBorder="1" applyAlignment="1">
      <alignment vertical="center"/>
    </xf>
    <xf numFmtId="189" fontId="10" fillId="0" borderId="0" xfId="0" applyNumberFormat="1" applyFont="1" applyAlignment="1">
      <alignment horizontal="center" vertical="center"/>
    </xf>
    <xf numFmtId="189" fontId="16" fillId="0" borderId="0" xfId="0" applyNumberFormat="1" applyFont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189" fontId="15" fillId="0" borderId="34" xfId="0" applyNumberFormat="1" applyFont="1" applyBorder="1" applyAlignment="1">
      <alignment horizontal="justify" vertical="center" wrapText="1"/>
    </xf>
    <xf numFmtId="189" fontId="15" fillId="61" borderId="34" xfId="0" applyNumberFormat="1" applyFont="1" applyFill="1" applyBorder="1" applyAlignment="1">
      <alignment horizontal="justify" vertical="center" wrapText="1"/>
    </xf>
    <xf numFmtId="9" fontId="17" fillId="61" borderId="34" xfId="96" applyFont="1" applyFill="1" applyBorder="1" applyAlignment="1">
      <alignment horizontal="center" vertical="center"/>
    </xf>
    <xf numFmtId="9" fontId="21" fillId="60" borderId="34" xfId="96" applyFont="1" applyFill="1" applyBorder="1" applyAlignment="1">
      <alignment horizontal="center" vertical="center" wrapText="1"/>
    </xf>
    <xf numFmtId="189" fontId="10" fillId="16" borderId="34" xfId="0" applyNumberFormat="1" applyFont="1" applyFill="1" applyBorder="1" applyAlignment="1">
      <alignment vertical="center"/>
    </xf>
    <xf numFmtId="189" fontId="10" fillId="16" borderId="34" xfId="0" applyNumberFormat="1" applyFont="1" applyFill="1" applyBorder="1" applyAlignment="1">
      <alignment horizontal="center" vertical="center"/>
    </xf>
    <xf numFmtId="9" fontId="17" fillId="16" borderId="34" xfId="96" applyFont="1" applyFill="1" applyBorder="1" applyAlignment="1">
      <alignment horizontal="center" vertical="center"/>
    </xf>
    <xf numFmtId="0" fontId="15" fillId="16" borderId="34" xfId="0" applyFont="1" applyFill="1" applyBorder="1" applyAlignment="1">
      <alignment vertical="center" wrapText="1"/>
    </xf>
    <xf numFmtId="9" fontId="17" fillId="16" borderId="3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7" fillId="0" borderId="34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189" fontId="15" fillId="61" borderId="34" xfId="0" applyNumberFormat="1" applyFont="1" applyFill="1" applyBorder="1" applyAlignment="1">
      <alignment vertical="center" wrapText="1"/>
    </xf>
    <xf numFmtId="189" fontId="15" fillId="61" borderId="32" xfId="0" applyNumberFormat="1" applyFont="1" applyFill="1" applyBorder="1" applyAlignment="1">
      <alignment vertical="center" wrapText="1"/>
    </xf>
    <xf numFmtId="189" fontId="15" fillId="61" borderId="42" xfId="0" applyNumberFormat="1" applyFont="1" applyFill="1" applyBorder="1" applyAlignment="1">
      <alignment vertical="center" wrapText="1"/>
    </xf>
    <xf numFmtId="188" fontId="10" fillId="62" borderId="34" xfId="0" applyNumberFormat="1" applyFont="1" applyFill="1" applyBorder="1" applyAlignment="1">
      <alignment vertical="center"/>
    </xf>
    <xf numFmtId="188" fontId="10" fillId="61" borderId="32" xfId="0" applyNumberFormat="1" applyFont="1" applyFill="1" applyBorder="1" applyAlignment="1">
      <alignment vertical="center"/>
    </xf>
    <xf numFmtId="188" fontId="10" fillId="61" borderId="42" xfId="0" applyNumberFormat="1" applyFont="1" applyFill="1" applyBorder="1" applyAlignment="1">
      <alignment vertical="center"/>
    </xf>
    <xf numFmtId="188" fontId="10" fillId="16" borderId="34" xfId="0" applyNumberFormat="1" applyFont="1" applyFill="1" applyBorder="1" applyAlignment="1">
      <alignment vertical="center"/>
    </xf>
    <xf numFmtId="189" fontId="15" fillId="16" borderId="34" xfId="0" applyNumberFormat="1" applyFont="1" applyFill="1" applyBorder="1" applyAlignment="1">
      <alignment vertical="center" wrapText="1"/>
    </xf>
    <xf numFmtId="189" fontId="15" fillId="16" borderId="32" xfId="0" applyNumberFormat="1" applyFont="1" applyFill="1" applyBorder="1" applyAlignment="1">
      <alignment vertical="center" wrapText="1"/>
    </xf>
    <xf numFmtId="189" fontId="15" fillId="16" borderId="42" xfId="0" applyNumberFormat="1" applyFont="1" applyFill="1" applyBorder="1" applyAlignment="1">
      <alignment vertical="center" wrapText="1"/>
    </xf>
    <xf numFmtId="0" fontId="12" fillId="0" borderId="48" xfId="0" applyFont="1" applyBorder="1" applyAlignment="1">
      <alignment horizontal="justify" vertical="center" wrapText="1"/>
    </xf>
    <xf numFmtId="0" fontId="15" fillId="0" borderId="31" xfId="0" applyFont="1" applyBorder="1" applyAlignment="1">
      <alignment vertical="center" wrapText="1"/>
    </xf>
    <xf numFmtId="189" fontId="10" fillId="0" borderId="41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188" fontId="11" fillId="56" borderId="34" xfId="0" applyNumberFormat="1" applyFont="1" applyFill="1" applyBorder="1" applyAlignment="1">
      <alignment horizontal="center" vertical="center"/>
    </xf>
    <xf numFmtId="188" fontId="11" fillId="56" borderId="34" xfId="0" applyNumberFormat="1" applyFont="1" applyFill="1" applyBorder="1" applyAlignment="1">
      <alignment horizontal="right" vertical="center"/>
    </xf>
    <xf numFmtId="186" fontId="10" fillId="56" borderId="34" xfId="0" applyNumberFormat="1" applyFont="1" applyFill="1" applyBorder="1" applyAlignment="1">
      <alignment horizontal="right" vertical="center"/>
    </xf>
    <xf numFmtId="0" fontId="11" fillId="56" borderId="34" xfId="0" applyFont="1" applyFill="1" applyBorder="1" applyAlignment="1">
      <alignment vertical="center"/>
    </xf>
    <xf numFmtId="188" fontId="11" fillId="56" borderId="41" xfId="0" applyNumberFormat="1" applyFont="1" applyFill="1" applyBorder="1" applyAlignment="1">
      <alignment horizontal="center" vertical="center"/>
    </xf>
    <xf numFmtId="0" fontId="11" fillId="56" borderId="42" xfId="0" applyFont="1" applyFill="1" applyBorder="1" applyAlignment="1">
      <alignment vertical="center"/>
    </xf>
    <xf numFmtId="0" fontId="11" fillId="56" borderId="41" xfId="0" applyFont="1" applyFill="1" applyBorder="1" applyAlignment="1">
      <alignment vertical="center"/>
    </xf>
    <xf numFmtId="188" fontId="11" fillId="56" borderId="41" xfId="0" applyNumberFormat="1" applyFont="1" applyFill="1" applyBorder="1" applyAlignment="1">
      <alignment horizontal="right" vertical="center"/>
    </xf>
    <xf numFmtId="189" fontId="15" fillId="61" borderId="41" xfId="0" applyNumberFormat="1" applyFont="1" applyFill="1" applyBorder="1" applyAlignment="1">
      <alignment horizontal="justify" vertical="center" wrapText="1"/>
    </xf>
    <xf numFmtId="189" fontId="15" fillId="61" borderId="42" xfId="0" applyNumberFormat="1" applyFont="1" applyFill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56" borderId="22" xfId="0" applyFont="1" applyFill="1" applyBorder="1" applyAlignment="1">
      <alignment horizontal="center" vertical="center"/>
    </xf>
    <xf numFmtId="0" fontId="10" fillId="56" borderId="49" xfId="0" applyFont="1" applyFill="1" applyBorder="1" applyAlignment="1">
      <alignment horizontal="center" vertical="center"/>
    </xf>
    <xf numFmtId="0" fontId="10" fillId="56" borderId="50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88" fontId="10" fillId="7" borderId="49" xfId="0" applyNumberFormat="1" applyFont="1" applyFill="1" applyBorder="1" applyAlignment="1">
      <alignment horizontal="right" vertical="center"/>
    </xf>
    <xf numFmtId="0" fontId="10" fillId="7" borderId="25" xfId="0" applyFont="1" applyFill="1" applyBorder="1" applyAlignment="1">
      <alignment horizontal="center" vertical="center"/>
    </xf>
    <xf numFmtId="188" fontId="10" fillId="57" borderId="41" xfId="0" applyNumberFormat="1" applyFont="1" applyFill="1" applyBorder="1" applyAlignment="1">
      <alignment vertical="center"/>
    </xf>
    <xf numFmtId="188" fontId="10" fillId="57" borderId="42" xfId="0" applyNumberFormat="1" applyFont="1" applyFill="1" applyBorder="1" applyAlignment="1">
      <alignment vertical="center"/>
    </xf>
    <xf numFmtId="188" fontId="11" fillId="57" borderId="41" xfId="0" applyNumberFormat="1" applyFont="1" applyFill="1" applyBorder="1" applyAlignment="1">
      <alignment vertical="center"/>
    </xf>
    <xf numFmtId="188" fontId="11" fillId="57" borderId="42" xfId="0" applyNumberFormat="1" applyFont="1" applyFill="1" applyBorder="1" applyAlignment="1">
      <alignment vertical="center"/>
    </xf>
    <xf numFmtId="188" fontId="16" fillId="57" borderId="41" xfId="0" applyNumberFormat="1" applyFont="1" applyFill="1" applyBorder="1" applyAlignment="1">
      <alignment vertical="center"/>
    </xf>
    <xf numFmtId="188" fontId="16" fillId="57" borderId="42" xfId="0" applyNumberFormat="1" applyFont="1" applyFill="1" applyBorder="1" applyAlignment="1">
      <alignment vertical="center"/>
    </xf>
    <xf numFmtId="188" fontId="10" fillId="60" borderId="41" xfId="0" applyNumberFormat="1" applyFont="1" applyFill="1" applyBorder="1" applyAlignment="1">
      <alignment vertical="center"/>
    </xf>
    <xf numFmtId="188" fontId="10" fillId="60" borderId="42" xfId="0" applyNumberFormat="1" applyFont="1" applyFill="1" applyBorder="1" applyAlignment="1">
      <alignment vertical="center"/>
    </xf>
    <xf numFmtId="188" fontId="10" fillId="16" borderId="41" xfId="0" applyNumberFormat="1" applyFont="1" applyFill="1" applyBorder="1" applyAlignment="1">
      <alignment vertical="center"/>
    </xf>
    <xf numFmtId="188" fontId="10" fillId="16" borderId="42" xfId="0" applyNumberFormat="1" applyFont="1" applyFill="1" applyBorder="1" applyAlignment="1">
      <alignment vertical="center"/>
    </xf>
    <xf numFmtId="0" fontId="10" fillId="57" borderId="22" xfId="0" applyFont="1" applyFill="1" applyBorder="1" applyAlignment="1">
      <alignment horizontal="center" vertical="center"/>
    </xf>
    <xf numFmtId="0" fontId="10" fillId="57" borderId="49" xfId="0" applyFont="1" applyFill="1" applyBorder="1" applyAlignment="1">
      <alignment horizontal="center" vertical="center"/>
    </xf>
    <xf numFmtId="0" fontId="10" fillId="57" borderId="5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vertical="center"/>
    </xf>
    <xf numFmtId="186" fontId="15" fillId="0" borderId="42" xfId="0" applyNumberFormat="1" applyFont="1" applyBorder="1" applyAlignment="1">
      <alignment vertical="center" wrapText="1"/>
    </xf>
    <xf numFmtId="186" fontId="15" fillId="0" borderId="34" xfId="0" applyNumberFormat="1" applyFont="1" applyBorder="1" applyAlignment="1">
      <alignment vertical="center" wrapText="1"/>
    </xf>
    <xf numFmtId="186" fontId="10" fillId="0" borderId="42" xfId="0" applyNumberFormat="1" applyFont="1" applyBorder="1" applyAlignment="1">
      <alignment horizontal="right" vertical="center"/>
    </xf>
    <xf numFmtId="186" fontId="10" fillId="0" borderId="34" xfId="0" applyNumberFormat="1" applyFont="1" applyBorder="1" applyAlignment="1">
      <alignment horizontal="right" vertical="center"/>
    </xf>
    <xf numFmtId="186" fontId="16" fillId="0" borderId="42" xfId="0" applyNumberFormat="1" applyFont="1" applyBorder="1" applyAlignment="1">
      <alignment horizontal="right" vertical="center"/>
    </xf>
    <xf numFmtId="186" fontId="16" fillId="0" borderId="34" xfId="0" applyNumberFormat="1" applyFont="1" applyBorder="1" applyAlignment="1">
      <alignment horizontal="right" vertical="center"/>
    </xf>
    <xf numFmtId="186" fontId="10" fillId="0" borderId="34" xfId="0" applyNumberFormat="1" applyFont="1" applyBorder="1" applyAlignment="1">
      <alignment horizontal="center" vertical="center"/>
    </xf>
    <xf numFmtId="186" fontId="10" fillId="0" borderId="41" xfId="0" applyNumberFormat="1" applyFont="1" applyBorder="1" applyAlignment="1">
      <alignment horizontal="center" vertical="center"/>
    </xf>
    <xf numFmtId="186" fontId="10" fillId="0" borderId="42" xfId="0" applyNumberFormat="1" applyFont="1" applyBorder="1" applyAlignment="1">
      <alignment horizontal="center" vertical="center"/>
    </xf>
    <xf numFmtId="186" fontId="10" fillId="0" borderId="41" xfId="0" applyNumberFormat="1" applyFont="1" applyBorder="1" applyAlignment="1">
      <alignment horizontal="right" vertical="center"/>
    </xf>
    <xf numFmtId="186" fontId="16" fillId="0" borderId="34" xfId="0" applyNumberFormat="1" applyFont="1" applyBorder="1" applyAlignment="1">
      <alignment horizontal="center" vertical="center"/>
    </xf>
    <xf numFmtId="186" fontId="16" fillId="0" borderId="41" xfId="0" applyNumberFormat="1" applyFont="1" applyBorder="1" applyAlignment="1">
      <alignment horizontal="center" vertical="center"/>
    </xf>
    <xf numFmtId="186" fontId="16" fillId="0" borderId="42" xfId="0" applyNumberFormat="1" applyFont="1" applyBorder="1" applyAlignment="1">
      <alignment horizontal="center" vertical="center"/>
    </xf>
    <xf numFmtId="186" fontId="16" fillId="0" borderId="41" xfId="0" applyNumberFormat="1" applyFont="1" applyBorder="1" applyAlignment="1">
      <alignment horizontal="right" vertical="center"/>
    </xf>
    <xf numFmtId="186" fontId="15" fillId="0" borderId="34" xfId="0" applyNumberFormat="1" applyFont="1" applyBorder="1" applyAlignment="1">
      <alignment horizontal="justify" vertical="center" wrapText="1"/>
    </xf>
    <xf numFmtId="186" fontId="15" fillId="0" borderId="41" xfId="0" applyNumberFormat="1" applyFont="1" applyBorder="1" applyAlignment="1">
      <alignment horizontal="justify" vertical="center" wrapText="1"/>
    </xf>
    <xf numFmtId="186" fontId="15" fillId="0" borderId="42" xfId="0" applyNumberFormat="1" applyFont="1" applyBorder="1" applyAlignment="1">
      <alignment horizontal="justify" vertical="center" wrapText="1"/>
    </xf>
    <xf numFmtId="186" fontId="15" fillId="0" borderId="41" xfId="0" applyNumberFormat="1" applyFont="1" applyBorder="1" applyAlignment="1">
      <alignment vertical="center" wrapText="1"/>
    </xf>
    <xf numFmtId="186" fontId="10" fillId="0" borderId="22" xfId="0" applyNumberFormat="1" applyFont="1" applyBorder="1" applyAlignment="1">
      <alignment horizontal="center" vertical="center"/>
    </xf>
    <xf numFmtId="188" fontId="15" fillId="0" borderId="42" xfId="0" applyNumberFormat="1" applyFont="1" applyBorder="1" applyAlignment="1">
      <alignment vertical="center" wrapText="1"/>
    </xf>
    <xf numFmtId="188" fontId="15" fillId="0" borderId="34" xfId="0" applyNumberFormat="1" applyFont="1" applyBorder="1" applyAlignment="1">
      <alignment vertical="center" wrapText="1"/>
    </xf>
    <xf numFmtId="188" fontId="10" fillId="0" borderId="52" xfId="0" applyNumberFormat="1" applyFont="1" applyBorder="1" applyAlignment="1">
      <alignment horizontal="right" vertical="center"/>
    </xf>
    <xf numFmtId="188" fontId="10" fillId="0" borderId="46" xfId="0" applyNumberFormat="1" applyFont="1" applyBorder="1" applyAlignment="1">
      <alignment horizontal="right" vertical="center"/>
    </xf>
    <xf numFmtId="188" fontId="10" fillId="0" borderId="47" xfId="0" applyNumberFormat="1" applyFont="1" applyBorder="1" applyAlignment="1">
      <alignment horizontal="right" vertical="center"/>
    </xf>
    <xf numFmtId="189" fontId="11" fillId="0" borderId="0" xfId="0" applyNumberFormat="1" applyFont="1" applyAlignment="1">
      <alignment vertical="center"/>
    </xf>
    <xf numFmtId="186" fontId="10" fillId="0" borderId="0" xfId="0" applyNumberFormat="1" applyFont="1" applyAlignment="1">
      <alignment vertical="center"/>
    </xf>
    <xf numFmtId="188" fontId="10" fillId="16" borderId="32" xfId="0" applyNumberFormat="1" applyFont="1" applyFill="1" applyBorder="1" applyAlignment="1">
      <alignment vertical="center"/>
    </xf>
    <xf numFmtId="0" fontId="10" fillId="56" borderId="34" xfId="0" applyFont="1" applyFill="1" applyBorder="1" applyAlignment="1">
      <alignment horizontal="center" vertical="center"/>
    </xf>
    <xf numFmtId="0" fontId="10" fillId="57" borderId="34" xfId="0" applyFont="1" applyFill="1" applyBorder="1" applyAlignment="1">
      <alignment horizontal="center" vertical="center"/>
    </xf>
    <xf numFmtId="9" fontId="21" fillId="16" borderId="34" xfId="96" applyFont="1" applyFill="1" applyBorder="1" applyAlignment="1">
      <alignment horizontal="center" vertical="center" wrapText="1"/>
    </xf>
    <xf numFmtId="0" fontId="10" fillId="56" borderId="34" xfId="0" applyFont="1" applyFill="1" applyBorder="1" applyAlignment="1">
      <alignment horizontal="center" vertical="center"/>
    </xf>
    <xf numFmtId="0" fontId="10" fillId="57" borderId="34" xfId="0" applyFont="1" applyFill="1" applyBorder="1" applyAlignment="1">
      <alignment horizontal="center" vertical="center"/>
    </xf>
    <xf numFmtId="9" fontId="17" fillId="57" borderId="34" xfId="96" applyFont="1" applyFill="1" applyBorder="1" applyAlignment="1">
      <alignment horizontal="center" vertical="center"/>
    </xf>
    <xf numFmtId="0" fontId="10" fillId="56" borderId="34" xfId="0" applyFont="1" applyFill="1" applyBorder="1" applyAlignment="1">
      <alignment horizontal="center" vertical="center"/>
    </xf>
    <xf numFmtId="9" fontId="16" fillId="56" borderId="34" xfId="96" applyFont="1" applyFill="1" applyBorder="1" applyAlignment="1">
      <alignment horizontal="center" vertical="center"/>
    </xf>
    <xf numFmtId="9" fontId="17" fillId="56" borderId="34" xfId="96" applyFont="1" applyFill="1" applyBorder="1" applyAlignment="1">
      <alignment horizontal="center" vertical="center"/>
    </xf>
    <xf numFmtId="0" fontId="10" fillId="58" borderId="22" xfId="0" applyFont="1" applyFill="1" applyBorder="1" applyAlignment="1">
      <alignment horizontal="center" vertical="center"/>
    </xf>
    <xf numFmtId="9" fontId="11" fillId="0" borderId="0" xfId="96" applyFont="1" applyAlignment="1">
      <alignment horizontal="center" vertical="center"/>
    </xf>
    <xf numFmtId="189" fontId="15" fillId="61" borderId="47" xfId="0" applyNumberFormat="1" applyFont="1" applyFill="1" applyBorder="1" applyAlignment="1">
      <alignment vertical="center" wrapText="1"/>
    </xf>
    <xf numFmtId="0" fontId="10" fillId="57" borderId="34" xfId="0" applyFont="1" applyFill="1" applyBorder="1" applyAlignment="1">
      <alignment horizontal="center" vertical="center"/>
    </xf>
    <xf numFmtId="0" fontId="10" fillId="56" borderId="34" xfId="0" applyFont="1" applyFill="1" applyBorder="1" applyAlignment="1">
      <alignment horizontal="center" vertical="center"/>
    </xf>
    <xf numFmtId="189" fontId="10" fillId="0" borderId="33" xfId="0" applyNumberFormat="1" applyFont="1" applyBorder="1" applyAlignment="1">
      <alignment horizontal="center" vertical="center"/>
    </xf>
    <xf numFmtId="189" fontId="16" fillId="0" borderId="33" xfId="0" applyNumberFormat="1" applyFont="1" applyBorder="1" applyAlignment="1">
      <alignment horizontal="center" vertical="center"/>
    </xf>
    <xf numFmtId="188" fontId="16" fillId="7" borderId="41" xfId="0" applyNumberFormat="1" applyFont="1" applyFill="1" applyBorder="1" applyAlignment="1">
      <alignment horizontal="right" vertical="center"/>
    </xf>
    <xf numFmtId="188" fontId="16" fillId="7" borderId="32" xfId="0" applyNumberFormat="1" applyFont="1" applyFill="1" applyBorder="1" applyAlignment="1">
      <alignment horizontal="right" vertical="center"/>
    </xf>
    <xf numFmtId="188" fontId="17" fillId="7" borderId="34" xfId="0" applyNumberFormat="1" applyFont="1" applyFill="1" applyBorder="1" applyAlignment="1">
      <alignment horizontal="center" vertical="center"/>
    </xf>
    <xf numFmtId="188" fontId="17" fillId="7" borderId="41" xfId="0" applyNumberFormat="1" applyFont="1" applyFill="1" applyBorder="1" applyAlignment="1">
      <alignment horizontal="center" vertical="center"/>
    </xf>
    <xf numFmtId="188" fontId="17" fillId="55" borderId="42" xfId="0" applyNumberFormat="1" applyFont="1" applyFill="1" applyBorder="1" applyAlignment="1">
      <alignment horizontal="right" vertical="center"/>
    </xf>
    <xf numFmtId="188" fontId="17" fillId="55" borderId="34" xfId="0" applyNumberFormat="1" applyFont="1" applyFill="1" applyBorder="1" applyAlignment="1">
      <alignment horizontal="right" vertical="center"/>
    </xf>
    <xf numFmtId="188" fontId="17" fillId="55" borderId="41" xfId="0" applyNumberFormat="1" applyFont="1" applyFill="1" applyBorder="1" applyAlignment="1">
      <alignment horizontal="right" vertical="center"/>
    </xf>
    <xf numFmtId="0" fontId="10" fillId="56" borderId="25" xfId="0" applyFont="1" applyFill="1" applyBorder="1" applyAlignment="1">
      <alignment horizontal="center" vertical="center"/>
    </xf>
    <xf numFmtId="188" fontId="10" fillId="55" borderId="32" xfId="0" applyNumberFormat="1" applyFont="1" applyFill="1" applyBorder="1" applyAlignment="1">
      <alignment vertical="center"/>
    </xf>
    <xf numFmtId="188" fontId="17" fillId="55" borderId="32" xfId="0" applyNumberFormat="1" applyFont="1" applyFill="1" applyBorder="1" applyAlignment="1">
      <alignment vertical="center"/>
    </xf>
    <xf numFmtId="188" fontId="16" fillId="55" borderId="32" xfId="0" applyNumberFormat="1" applyFont="1" applyFill="1" applyBorder="1" applyAlignment="1">
      <alignment vertical="center"/>
    </xf>
    <xf numFmtId="188" fontId="11" fillId="55" borderId="32" xfId="0" applyNumberFormat="1" applyFont="1" applyFill="1" applyBorder="1" applyAlignment="1">
      <alignment vertical="center"/>
    </xf>
    <xf numFmtId="188" fontId="10" fillId="56" borderId="32" xfId="0" applyNumberFormat="1" applyFont="1" applyFill="1" applyBorder="1" applyAlignment="1">
      <alignment vertical="center"/>
    </xf>
    <xf numFmtId="188" fontId="17" fillId="56" borderId="32" xfId="0" applyNumberFormat="1" applyFont="1" applyFill="1" applyBorder="1" applyAlignment="1">
      <alignment vertical="center"/>
    </xf>
    <xf numFmtId="188" fontId="11" fillId="56" borderId="32" xfId="0" applyNumberFormat="1" applyFont="1" applyFill="1" applyBorder="1" applyAlignment="1">
      <alignment vertical="center"/>
    </xf>
    <xf numFmtId="0" fontId="11" fillId="56" borderId="32" xfId="0" applyFont="1" applyFill="1" applyBorder="1" applyAlignment="1">
      <alignment vertical="center"/>
    </xf>
    <xf numFmtId="188" fontId="10" fillId="56" borderId="42" xfId="0" applyNumberFormat="1" applyFont="1" applyFill="1" applyBorder="1" applyAlignment="1">
      <alignment vertical="center"/>
    </xf>
    <xf numFmtId="188" fontId="17" fillId="56" borderId="42" xfId="0" applyNumberFormat="1" applyFont="1" applyFill="1" applyBorder="1" applyAlignment="1">
      <alignment vertical="center"/>
    </xf>
    <xf numFmtId="188" fontId="11" fillId="56" borderId="42" xfId="0" applyNumberFormat="1" applyFont="1" applyFill="1" applyBorder="1" applyAlignment="1">
      <alignment vertical="center"/>
    </xf>
    <xf numFmtId="188" fontId="10" fillId="56" borderId="32" xfId="0" applyNumberFormat="1" applyFont="1" applyFill="1" applyBorder="1" applyAlignment="1">
      <alignment horizontal="right" vertical="center"/>
    </xf>
    <xf numFmtId="199" fontId="0" fillId="0" borderId="0" xfId="96" applyNumberFormat="1" applyFont="1" applyAlignment="1">
      <alignment horizontal="center" vertical="center"/>
    </xf>
    <xf numFmtId="199" fontId="0" fillId="0" borderId="0" xfId="96" applyNumberFormat="1" applyFont="1" applyAlignment="1">
      <alignment vertical="center"/>
    </xf>
    <xf numFmtId="188" fontId="10" fillId="22" borderId="34" xfId="0" applyNumberFormat="1" applyFont="1" applyFill="1" applyBorder="1" applyAlignment="1">
      <alignment vertical="center"/>
    </xf>
    <xf numFmtId="188" fontId="11" fillId="22" borderId="34" xfId="0" applyNumberFormat="1" applyFont="1" applyFill="1" applyBorder="1" applyAlignment="1">
      <alignment vertical="center"/>
    </xf>
    <xf numFmtId="188" fontId="11" fillId="57" borderId="47" xfId="0" applyNumberFormat="1" applyFont="1" applyFill="1" applyBorder="1" applyAlignment="1">
      <alignment vertical="center"/>
    </xf>
    <xf numFmtId="188" fontId="10" fillId="16" borderId="47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0" fillId="57" borderId="34" xfId="0" applyFont="1" applyFill="1" applyBorder="1" applyAlignment="1">
      <alignment horizontal="center" vertical="center"/>
    </xf>
    <xf numFmtId="0" fontId="10" fillId="56" borderId="34" xfId="0" applyFont="1" applyFill="1" applyBorder="1" applyAlignment="1">
      <alignment horizontal="center" vertical="center"/>
    </xf>
    <xf numFmtId="204" fontId="11" fillId="0" borderId="0" xfId="0" applyNumberFormat="1" applyFont="1" applyAlignment="1">
      <alignment horizontal="center" vertical="center"/>
    </xf>
    <xf numFmtId="204" fontId="10" fillId="0" borderId="0" xfId="0" applyNumberFormat="1" applyFont="1" applyAlignment="1">
      <alignment horizontal="left" vertical="center"/>
    </xf>
    <xf numFmtId="191" fontId="11" fillId="0" borderId="0" xfId="0" applyNumberFormat="1" applyFont="1" applyAlignment="1">
      <alignment horizontal="center" vertical="center"/>
    </xf>
    <xf numFmtId="199" fontId="16" fillId="0" borderId="34" xfId="0" applyNumberFormat="1" applyFont="1" applyBorder="1" applyAlignment="1">
      <alignment horizontal="center" vertical="center"/>
    </xf>
    <xf numFmtId="188" fontId="10" fillId="7" borderId="32" xfId="0" applyNumberFormat="1" applyFont="1" applyFill="1" applyBorder="1" applyAlignment="1">
      <alignment horizontal="center" vertical="center"/>
    </xf>
    <xf numFmtId="188" fontId="16" fillId="7" borderId="32" xfId="0" applyNumberFormat="1" applyFont="1" applyFill="1" applyBorder="1" applyAlignment="1">
      <alignment horizontal="center" vertical="center"/>
    </xf>
    <xf numFmtId="189" fontId="15" fillId="61" borderId="32" xfId="0" applyNumberFormat="1" applyFont="1" applyFill="1" applyBorder="1" applyAlignment="1">
      <alignment horizontal="justify" vertical="center" wrapText="1"/>
    </xf>
    <xf numFmtId="188" fontId="10" fillId="55" borderId="32" xfId="0" applyNumberFormat="1" applyFont="1" applyFill="1" applyBorder="1" applyAlignment="1">
      <alignment horizontal="right" vertical="center"/>
    </xf>
    <xf numFmtId="188" fontId="16" fillId="55" borderId="32" xfId="0" applyNumberFormat="1" applyFont="1" applyFill="1" applyBorder="1" applyAlignment="1">
      <alignment horizontal="right" vertical="center"/>
    </xf>
    <xf numFmtId="1" fontId="10" fillId="7" borderId="42" xfId="0" applyNumberFormat="1" applyFont="1" applyFill="1" applyBorder="1" applyAlignment="1">
      <alignment horizontal="right" vertical="center"/>
    </xf>
    <xf numFmtId="188" fontId="16" fillId="56" borderId="42" xfId="0" applyNumberFormat="1" applyFont="1" applyFill="1" applyBorder="1" applyAlignment="1">
      <alignment horizontal="right" vertical="center"/>
    </xf>
    <xf numFmtId="188" fontId="16" fillId="56" borderId="34" xfId="0" applyNumberFormat="1" applyFont="1" applyFill="1" applyBorder="1" applyAlignment="1">
      <alignment horizontal="right" vertical="center"/>
    </xf>
    <xf numFmtId="188" fontId="16" fillId="56" borderId="32" xfId="0" applyNumberFormat="1" applyFont="1" applyFill="1" applyBorder="1" applyAlignment="1">
      <alignment horizontal="right" vertical="center"/>
    </xf>
    <xf numFmtId="199" fontId="17" fillId="16" borderId="34" xfId="0" applyNumberFormat="1" applyFont="1" applyFill="1" applyBorder="1" applyAlignment="1">
      <alignment horizontal="center" vertical="center"/>
    </xf>
    <xf numFmtId="188" fontId="16" fillId="7" borderId="42" xfId="0" applyNumberFormat="1" applyFont="1" applyFill="1" applyBorder="1" applyAlignment="1">
      <alignment vertical="center"/>
    </xf>
    <xf numFmtId="188" fontId="16" fillId="56" borderId="32" xfId="0" applyNumberFormat="1" applyFont="1" applyFill="1" applyBorder="1" applyAlignment="1">
      <alignment vertical="center"/>
    </xf>
    <xf numFmtId="188" fontId="16" fillId="56" borderId="42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199" fontId="17" fillId="0" borderId="34" xfId="0" applyNumberFormat="1" applyFont="1" applyBorder="1" applyAlignment="1">
      <alignment horizontal="center" vertical="center"/>
    </xf>
    <xf numFmtId="199" fontId="16" fillId="0" borderId="0" xfId="0" applyNumberFormat="1" applyFont="1" applyAlignment="1">
      <alignment horizontal="center" vertical="center"/>
    </xf>
    <xf numFmtId="189" fontId="0" fillId="0" borderId="0" xfId="0" applyNumberFormat="1" applyAlignment="1">
      <alignment vertical="center"/>
    </xf>
    <xf numFmtId="188" fontId="10" fillId="63" borderId="34" xfId="0" applyNumberFormat="1" applyFont="1" applyFill="1" applyBorder="1" applyAlignment="1">
      <alignment vertical="center"/>
    </xf>
    <xf numFmtId="188" fontId="11" fillId="63" borderId="34" xfId="0" applyNumberFormat="1" applyFont="1" applyFill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188" fontId="10" fillId="0" borderId="48" xfId="0" applyNumberFormat="1" applyFont="1" applyBorder="1" applyAlignment="1">
      <alignment vertical="center"/>
    </xf>
    <xf numFmtId="188" fontId="16" fillId="0" borderId="48" xfId="0" applyNumberFormat="1" applyFont="1" applyBorder="1" applyAlignment="1">
      <alignment vertical="center"/>
    </xf>
    <xf numFmtId="188" fontId="11" fillId="0" borderId="48" xfId="0" applyNumberFormat="1" applyFont="1" applyBorder="1" applyAlignment="1">
      <alignment vertical="center"/>
    </xf>
    <xf numFmtId="188" fontId="10" fillId="0" borderId="48" xfId="0" applyNumberFormat="1" applyFont="1" applyBorder="1" applyAlignment="1">
      <alignment horizontal="right" vertical="center"/>
    </xf>
    <xf numFmtId="188" fontId="11" fillId="0" borderId="48" xfId="0" applyNumberFormat="1" applyFont="1" applyBorder="1" applyAlignment="1">
      <alignment horizontal="right" vertical="center"/>
    </xf>
    <xf numFmtId="188" fontId="16" fillId="0" borderId="48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188" fontId="17" fillId="0" borderId="0" xfId="0" applyNumberFormat="1" applyFont="1" applyAlignment="1">
      <alignment vertical="center"/>
    </xf>
    <xf numFmtId="188" fontId="16" fillId="0" borderId="0" xfId="0" applyNumberFormat="1" applyFont="1" applyAlignment="1">
      <alignment horizontal="right" vertical="center"/>
    </xf>
    <xf numFmtId="188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1" fillId="0" borderId="51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188" fontId="16" fillId="0" borderId="47" xfId="0" applyNumberFormat="1" applyFont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188" fontId="16" fillId="0" borderId="47" xfId="0" applyNumberFormat="1" applyFont="1" applyBorder="1" applyAlignment="1">
      <alignment horizontal="right" vertical="center"/>
    </xf>
    <xf numFmtId="188" fontId="11" fillId="0" borderId="47" xfId="0" applyNumberFormat="1" applyFont="1" applyBorder="1" applyAlignment="1">
      <alignment horizontal="right" vertical="center"/>
    </xf>
    <xf numFmtId="0" fontId="10" fillId="56" borderId="53" xfId="0" applyFont="1" applyFill="1" applyBorder="1" applyAlignment="1">
      <alignment horizontal="center" vertical="center"/>
    </xf>
    <xf numFmtId="188" fontId="10" fillId="55" borderId="47" xfId="0" applyNumberFormat="1" applyFont="1" applyFill="1" applyBorder="1" applyAlignment="1">
      <alignment vertical="center"/>
    </xf>
    <xf numFmtId="188" fontId="17" fillId="55" borderId="47" xfId="0" applyNumberFormat="1" applyFont="1" applyFill="1" applyBorder="1" applyAlignment="1">
      <alignment vertical="center"/>
    </xf>
    <xf numFmtId="188" fontId="16" fillId="55" borderId="47" xfId="0" applyNumberFormat="1" applyFont="1" applyFill="1" applyBorder="1" applyAlignment="1">
      <alignment vertical="center"/>
    </xf>
    <xf numFmtId="188" fontId="11" fillId="55" borderId="47" xfId="0" applyNumberFormat="1" applyFont="1" applyFill="1" applyBorder="1" applyAlignment="1">
      <alignment vertical="center"/>
    </xf>
    <xf numFmtId="188" fontId="10" fillId="61" borderId="47" xfId="0" applyNumberFormat="1" applyFont="1" applyFill="1" applyBorder="1" applyAlignment="1">
      <alignment vertical="center"/>
    </xf>
    <xf numFmtId="189" fontId="15" fillId="16" borderId="47" xfId="0" applyNumberFormat="1" applyFont="1" applyFill="1" applyBorder="1" applyAlignment="1">
      <alignment vertical="center" wrapText="1"/>
    </xf>
    <xf numFmtId="188" fontId="10" fillId="56" borderId="47" xfId="0" applyNumberFormat="1" applyFont="1" applyFill="1" applyBorder="1" applyAlignment="1">
      <alignment vertical="center"/>
    </xf>
    <xf numFmtId="188" fontId="16" fillId="56" borderId="47" xfId="0" applyNumberFormat="1" applyFont="1" applyFill="1" applyBorder="1" applyAlignment="1">
      <alignment vertical="center"/>
    </xf>
    <xf numFmtId="188" fontId="17" fillId="56" borderId="47" xfId="0" applyNumberFormat="1" applyFont="1" applyFill="1" applyBorder="1" applyAlignment="1">
      <alignment vertical="center"/>
    </xf>
    <xf numFmtId="188" fontId="11" fillId="56" borderId="47" xfId="0" applyNumberFormat="1" applyFont="1" applyFill="1" applyBorder="1" applyAlignment="1">
      <alignment vertical="center"/>
    </xf>
    <xf numFmtId="0" fontId="11" fillId="56" borderId="47" xfId="0" applyFont="1" applyFill="1" applyBorder="1" applyAlignment="1">
      <alignment vertical="center"/>
    </xf>
    <xf numFmtId="188" fontId="10" fillId="7" borderId="47" xfId="0" applyNumberFormat="1" applyFont="1" applyFill="1" applyBorder="1" applyAlignment="1">
      <alignment horizontal="right" vertical="center"/>
    </xf>
    <xf numFmtId="188" fontId="16" fillId="7" borderId="47" xfId="0" applyNumberFormat="1" applyFont="1" applyFill="1" applyBorder="1" applyAlignment="1">
      <alignment horizontal="right" vertical="center"/>
    </xf>
    <xf numFmtId="188" fontId="11" fillId="7" borderId="47" xfId="0" applyNumberFormat="1" applyFont="1" applyFill="1" applyBorder="1" applyAlignment="1">
      <alignment horizontal="right" vertical="center"/>
    </xf>
    <xf numFmtId="188" fontId="10" fillId="56" borderId="47" xfId="0" applyNumberFormat="1" applyFont="1" applyFill="1" applyBorder="1" applyAlignment="1">
      <alignment horizontal="right" vertical="center"/>
    </xf>
    <xf numFmtId="188" fontId="16" fillId="56" borderId="47" xfId="0" applyNumberFormat="1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horizontal="center" vertical="center"/>
    </xf>
    <xf numFmtId="188" fontId="10" fillId="60" borderId="47" xfId="0" applyNumberFormat="1" applyFont="1" applyFill="1" applyBorder="1" applyAlignment="1">
      <alignment vertical="center"/>
    </xf>
    <xf numFmtId="0" fontId="10" fillId="57" borderId="53" xfId="0" applyFont="1" applyFill="1" applyBorder="1" applyAlignment="1">
      <alignment horizontal="center" vertical="center"/>
    </xf>
    <xf numFmtId="188" fontId="10" fillId="57" borderId="47" xfId="0" applyNumberFormat="1" applyFont="1" applyFill="1" applyBorder="1" applyAlignment="1">
      <alignment vertical="center"/>
    </xf>
    <xf numFmtId="188" fontId="16" fillId="57" borderId="47" xfId="0" applyNumberFormat="1" applyFont="1" applyFill="1" applyBorder="1" applyAlignment="1">
      <alignment vertical="center"/>
    </xf>
    <xf numFmtId="200" fontId="11" fillId="0" borderId="0" xfId="0" applyNumberFormat="1" applyFont="1" applyAlignment="1">
      <alignment vertical="center"/>
    </xf>
    <xf numFmtId="9" fontId="0" fillId="0" borderId="0" xfId="96" applyFont="1" applyAlignment="1">
      <alignment horizontal="center" vertical="center"/>
    </xf>
    <xf numFmtId="199" fontId="16" fillId="0" borderId="0" xfId="96" applyNumberFormat="1" applyFont="1" applyAlignment="1">
      <alignment vertical="center"/>
    </xf>
    <xf numFmtId="199" fontId="11" fillId="0" borderId="0" xfId="96" applyNumberFormat="1" applyFont="1" applyAlignment="1">
      <alignment vertical="center"/>
    </xf>
    <xf numFmtId="0" fontId="10" fillId="56" borderId="34" xfId="0" applyFont="1" applyFill="1" applyBorder="1" applyAlignment="1">
      <alignment horizontal="center" vertical="center"/>
    </xf>
    <xf numFmtId="0" fontId="10" fillId="57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86" fontId="16" fillId="0" borderId="0" xfId="0" applyNumberFormat="1" applyFont="1" applyAlignment="1">
      <alignment vertical="center"/>
    </xf>
    <xf numFmtId="188" fontId="17" fillId="0" borderId="34" xfId="0" applyNumberFormat="1" applyFont="1" applyBorder="1" applyAlignment="1">
      <alignment horizontal="center" vertical="center"/>
    </xf>
    <xf numFmtId="188" fontId="17" fillId="0" borderId="41" xfId="0" applyNumberFormat="1" applyFont="1" applyBorder="1" applyAlignment="1">
      <alignment horizontal="center" vertical="center"/>
    </xf>
    <xf numFmtId="188" fontId="17" fillId="0" borderId="42" xfId="0" applyNumberFormat="1" applyFont="1" applyBorder="1" applyAlignment="1">
      <alignment horizontal="center" vertical="center"/>
    </xf>
    <xf numFmtId="189" fontId="17" fillId="0" borderId="33" xfId="0" applyNumberFormat="1" applyFont="1" applyBorder="1" applyAlignment="1">
      <alignment vertical="center"/>
    </xf>
    <xf numFmtId="189" fontId="17" fillId="0" borderId="34" xfId="0" applyNumberFormat="1" applyFont="1" applyBorder="1" applyAlignment="1">
      <alignment vertical="center"/>
    </xf>
    <xf numFmtId="189" fontId="17" fillId="0" borderId="32" xfId="0" applyNumberFormat="1" applyFont="1" applyBorder="1" applyAlignment="1">
      <alignment vertical="center"/>
    </xf>
    <xf numFmtId="189" fontId="17" fillId="0" borderId="42" xfId="0" applyNumberFormat="1" applyFont="1" applyBorder="1" applyAlignment="1">
      <alignment vertical="center"/>
    </xf>
    <xf numFmtId="188" fontId="17" fillId="0" borderId="42" xfId="0" applyNumberFormat="1" applyFont="1" applyBorder="1" applyAlignment="1">
      <alignment vertical="center"/>
    </xf>
    <xf numFmtId="188" fontId="17" fillId="0" borderId="34" xfId="0" applyNumberFormat="1" applyFont="1" applyBorder="1" applyAlignment="1">
      <alignment vertical="center"/>
    </xf>
    <xf numFmtId="188" fontId="17" fillId="7" borderId="33" xfId="0" applyNumberFormat="1" applyFont="1" applyFill="1" applyBorder="1" applyAlignment="1">
      <alignment horizontal="right" vertical="center"/>
    </xf>
    <xf numFmtId="199" fontId="10" fillId="0" borderId="0" xfId="96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56" borderId="34" xfId="0" applyFont="1" applyFill="1" applyBorder="1" applyAlignment="1">
      <alignment horizontal="center" vertical="center"/>
    </xf>
    <xf numFmtId="188" fontId="10" fillId="60" borderId="22" xfId="0" applyNumberFormat="1" applyFont="1" applyFill="1" applyBorder="1" applyAlignment="1">
      <alignment vertical="center"/>
    </xf>
    <xf numFmtId="0" fontId="10" fillId="57" borderId="34" xfId="0" applyFont="1" applyFill="1" applyBorder="1" applyAlignment="1">
      <alignment horizontal="center" vertical="center"/>
    </xf>
    <xf numFmtId="186" fontId="10" fillId="0" borderId="51" xfId="0" applyNumberFormat="1" applyFont="1" applyBorder="1" applyAlignment="1">
      <alignment horizontal="center" vertical="center"/>
    </xf>
    <xf numFmtId="187" fontId="10" fillId="0" borderId="51" xfId="0" applyNumberFormat="1" applyFont="1" applyBorder="1" applyAlignment="1">
      <alignment horizontal="center" vertical="center"/>
    </xf>
    <xf numFmtId="188" fontId="10" fillId="0" borderId="46" xfId="0" applyNumberFormat="1" applyFont="1" applyBorder="1" applyAlignment="1">
      <alignment vertical="center"/>
    </xf>
    <xf numFmtId="188" fontId="10" fillId="0" borderId="51" xfId="0" applyNumberFormat="1" applyFont="1" applyBorder="1" applyAlignment="1">
      <alignment horizontal="right" vertical="center"/>
    </xf>
    <xf numFmtId="188" fontId="16" fillId="0" borderId="51" xfId="0" applyNumberFormat="1" applyFont="1" applyBorder="1" applyAlignment="1">
      <alignment horizontal="right" vertical="center"/>
    </xf>
    <xf numFmtId="188" fontId="11" fillId="0" borderId="51" xfId="0" applyNumberFormat="1" applyFont="1" applyBorder="1" applyAlignment="1">
      <alignment horizontal="right" vertical="center"/>
    </xf>
    <xf numFmtId="187" fontId="10" fillId="0" borderId="46" xfId="0" applyNumberFormat="1" applyFont="1" applyBorder="1" applyAlignment="1">
      <alignment vertical="center"/>
    </xf>
    <xf numFmtId="189" fontId="10" fillId="0" borderId="34" xfId="102" applyNumberFormat="1" applyFont="1" applyBorder="1" applyAlignment="1">
      <alignment horizontal="center" vertical="center"/>
    </xf>
    <xf numFmtId="189" fontId="16" fillId="0" borderId="34" xfId="102" applyNumberFormat="1" applyFont="1" applyBorder="1" applyAlignment="1">
      <alignment horizontal="center" vertical="center"/>
    </xf>
    <xf numFmtId="189" fontId="11" fillId="0" borderId="34" xfId="102" applyNumberFormat="1" applyFont="1" applyBorder="1" applyAlignment="1">
      <alignment horizontal="center" vertical="center"/>
    </xf>
    <xf numFmtId="189" fontId="15" fillId="0" borderId="34" xfId="102" applyNumberFormat="1" applyFont="1" applyBorder="1" applyAlignment="1">
      <alignment horizontal="justify" vertical="center" wrapText="1"/>
    </xf>
    <xf numFmtId="188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7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8" fontId="0" fillId="0" borderId="0" xfId="0" applyNumberFormat="1" applyBorder="1" applyAlignment="1">
      <alignment vertical="center"/>
    </xf>
    <xf numFmtId="200" fontId="0" fillId="0" borderId="0" xfId="0" applyNumberFormat="1" applyBorder="1" applyAlignment="1">
      <alignment horizontal="center" vertical="center"/>
    </xf>
    <xf numFmtId="186" fontId="10" fillId="0" borderId="34" xfId="0" applyNumberFormat="1" applyFont="1" applyBorder="1" applyAlignment="1">
      <alignment vertical="center"/>
    </xf>
    <xf numFmtId="187" fontId="17" fillId="0" borderId="46" xfId="0" applyNumberFormat="1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189" fontId="16" fillId="0" borderId="41" xfId="0" applyNumberFormat="1" applyFont="1" applyBorder="1" applyAlignment="1">
      <alignment vertical="center"/>
    </xf>
    <xf numFmtId="188" fontId="16" fillId="56" borderId="34" xfId="0" applyNumberFormat="1" applyFont="1" applyFill="1" applyBorder="1" applyAlignment="1">
      <alignment horizontal="center" vertical="center"/>
    </xf>
    <xf numFmtId="188" fontId="16" fillId="56" borderId="41" xfId="0" applyNumberFormat="1" applyFont="1" applyFill="1" applyBorder="1" applyAlignment="1">
      <alignment horizontal="center" vertical="center"/>
    </xf>
    <xf numFmtId="186" fontId="16" fillId="55" borderId="42" xfId="0" applyNumberFormat="1" applyFont="1" applyFill="1" applyBorder="1" applyAlignment="1">
      <alignment horizontal="right" vertical="center"/>
    </xf>
    <xf numFmtId="0" fontId="16" fillId="56" borderId="34" xfId="0" applyFont="1" applyFill="1" applyBorder="1" applyAlignment="1">
      <alignment vertical="center"/>
    </xf>
    <xf numFmtId="0" fontId="16" fillId="56" borderId="42" xfId="0" applyFont="1" applyFill="1" applyBorder="1" applyAlignment="1">
      <alignment vertical="center"/>
    </xf>
    <xf numFmtId="186" fontId="16" fillId="56" borderId="34" xfId="0" applyNumberFormat="1" applyFont="1" applyFill="1" applyBorder="1" applyAlignment="1">
      <alignment horizontal="right" vertical="center"/>
    </xf>
    <xf numFmtId="0" fontId="16" fillId="56" borderId="41" xfId="0" applyFont="1" applyFill="1" applyBorder="1" applyAlignment="1">
      <alignment vertical="center"/>
    </xf>
    <xf numFmtId="188" fontId="16" fillId="56" borderId="41" xfId="0" applyNumberFormat="1" applyFont="1" applyFill="1" applyBorder="1" applyAlignment="1">
      <alignment horizontal="right" vertical="center"/>
    </xf>
    <xf numFmtId="0" fontId="16" fillId="56" borderId="32" xfId="0" applyFont="1" applyFill="1" applyBorder="1" applyAlignment="1">
      <alignment vertical="center"/>
    </xf>
    <xf numFmtId="0" fontId="16" fillId="56" borderId="47" xfId="0" applyFont="1" applyFill="1" applyBorder="1" applyAlignment="1">
      <alignment vertical="center"/>
    </xf>
    <xf numFmtId="188" fontId="17" fillId="0" borderId="46" xfId="0" applyNumberFormat="1" applyFont="1" applyBorder="1" applyAlignment="1">
      <alignment vertical="center"/>
    </xf>
    <xf numFmtId="188" fontId="17" fillId="7" borderId="47" xfId="0" applyNumberFormat="1" applyFont="1" applyFill="1" applyBorder="1" applyAlignment="1">
      <alignment horizontal="right" vertical="center"/>
    </xf>
    <xf numFmtId="186" fontId="10" fillId="0" borderId="42" xfId="0" applyNumberFormat="1" applyFont="1" applyBorder="1" applyAlignment="1">
      <alignment vertical="center"/>
    </xf>
    <xf numFmtId="188" fontId="11" fillId="0" borderId="31" xfId="0" applyNumberFormat="1" applyFont="1" applyBorder="1" applyAlignment="1">
      <alignment vertical="center"/>
    </xf>
    <xf numFmtId="188" fontId="11" fillId="0" borderId="43" xfId="0" applyNumberFormat="1" applyFont="1" applyBorder="1" applyAlignment="1">
      <alignment vertical="center"/>
    </xf>
    <xf numFmtId="0" fontId="10" fillId="56" borderId="34" xfId="0" applyFont="1" applyFill="1" applyBorder="1" applyAlignment="1">
      <alignment horizontal="center" vertical="center"/>
    </xf>
    <xf numFmtId="0" fontId="10" fillId="57" borderId="34" xfId="0" applyFont="1" applyFill="1" applyBorder="1" applyAlignment="1">
      <alignment horizontal="center" vertical="center"/>
    </xf>
    <xf numFmtId="186" fontId="10" fillId="0" borderId="49" xfId="0" applyNumberFormat="1" applyFont="1" applyBorder="1" applyAlignment="1">
      <alignment horizontal="center" vertical="center"/>
    </xf>
    <xf numFmtId="186" fontId="10" fillId="0" borderId="50" xfId="0" applyNumberFormat="1" applyFont="1" applyBorder="1" applyAlignment="1">
      <alignment horizontal="center" vertical="center"/>
    </xf>
    <xf numFmtId="188" fontId="15" fillId="0" borderId="0" xfId="0" applyNumberFormat="1" applyFont="1" applyAlignment="1">
      <alignment vertical="center" wrapText="1"/>
    </xf>
    <xf numFmtId="188" fontId="10" fillId="0" borderId="31" xfId="0" applyNumberFormat="1" applyFont="1" applyBorder="1" applyAlignment="1">
      <alignment vertical="center"/>
    </xf>
    <xf numFmtId="188" fontId="0" fillId="0" borderId="43" xfId="0" applyNumberForma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87" fontId="11" fillId="0" borderId="0" xfId="0" applyNumberFormat="1" applyFont="1" applyAlignment="1">
      <alignment vertical="center"/>
    </xf>
    <xf numFmtId="0" fontId="10" fillId="56" borderId="34" xfId="0" applyFont="1" applyFill="1" applyBorder="1" applyAlignment="1">
      <alignment horizontal="center" vertical="center"/>
    </xf>
    <xf numFmtId="0" fontId="10" fillId="57" borderId="34" xfId="0" applyFont="1" applyFill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 indent="1"/>
    </xf>
    <xf numFmtId="188" fontId="11" fillId="0" borderId="47" xfId="0" applyNumberFormat="1" applyFont="1" applyFill="1" applyBorder="1" applyAlignment="1">
      <alignment vertical="center"/>
    </xf>
    <xf numFmtId="188" fontId="11" fillId="0" borderId="34" xfId="0" applyNumberFormat="1" applyFont="1" applyFill="1" applyBorder="1" applyAlignment="1">
      <alignment vertical="center"/>
    </xf>
    <xf numFmtId="188" fontId="16" fillId="0" borderId="47" xfId="0" applyNumberFormat="1" applyFont="1" applyFill="1" applyBorder="1" applyAlignment="1">
      <alignment vertical="center"/>
    </xf>
    <xf numFmtId="188" fontId="16" fillId="0" borderId="34" xfId="0" applyNumberFormat="1" applyFont="1" applyFill="1" applyBorder="1" applyAlignment="1">
      <alignment vertical="center"/>
    </xf>
    <xf numFmtId="188" fontId="11" fillId="0" borderId="34" xfId="0" applyNumberFormat="1" applyFont="1" applyFill="1" applyBorder="1" applyAlignment="1">
      <alignment horizontal="right" vertical="center"/>
    </xf>
    <xf numFmtId="188" fontId="16" fillId="0" borderId="34" xfId="0" applyNumberFormat="1" applyFont="1" applyFill="1" applyBorder="1" applyAlignment="1">
      <alignment horizontal="right" vertical="center"/>
    </xf>
    <xf numFmtId="199" fontId="17" fillId="56" borderId="34" xfId="96" applyNumberFormat="1" applyFont="1" applyFill="1" applyBorder="1" applyAlignment="1">
      <alignment horizontal="center" vertical="center"/>
    </xf>
    <xf numFmtId="199" fontId="16" fillId="7" borderId="34" xfId="96" applyNumberFormat="1" applyFont="1" applyFill="1" applyBorder="1" applyAlignment="1">
      <alignment horizontal="center" vertical="center"/>
    </xf>
    <xf numFmtId="199" fontId="16" fillId="56" borderId="34" xfId="96" applyNumberFormat="1" applyFont="1" applyFill="1" applyBorder="1" applyAlignment="1">
      <alignment horizontal="center" vertical="center"/>
    </xf>
    <xf numFmtId="199" fontId="17" fillId="61" borderId="34" xfId="96" applyNumberFormat="1" applyFont="1" applyFill="1" applyBorder="1" applyAlignment="1">
      <alignment horizontal="center" vertical="center"/>
    </xf>
    <xf numFmtId="199" fontId="16" fillId="0" borderId="0" xfId="96" applyNumberFormat="1" applyFont="1" applyAlignment="1">
      <alignment horizontal="center" vertical="center"/>
    </xf>
    <xf numFmtId="199" fontId="17" fillId="55" borderId="34" xfId="0" applyNumberFormat="1" applyFont="1" applyFill="1" applyBorder="1" applyAlignment="1">
      <alignment vertical="center"/>
    </xf>
    <xf numFmtId="199" fontId="17" fillId="16" borderId="34" xfId="96" applyNumberFormat="1" applyFont="1" applyFill="1" applyBorder="1" applyAlignment="1">
      <alignment horizontal="center" vertical="center"/>
    </xf>
    <xf numFmtId="199" fontId="16" fillId="0" borderId="34" xfId="96" applyNumberFormat="1" applyFont="1" applyBorder="1" applyAlignment="1">
      <alignment horizontal="center" vertical="center"/>
    </xf>
    <xf numFmtId="199" fontId="11" fillId="7" borderId="34" xfId="0" applyNumberFormat="1" applyFont="1" applyFill="1" applyBorder="1" applyAlignment="1">
      <alignment horizontal="center" vertical="center"/>
    </xf>
    <xf numFmtId="199" fontId="11" fillId="61" borderId="34" xfId="0" applyNumberFormat="1" applyFont="1" applyFill="1" applyBorder="1" applyAlignment="1">
      <alignment horizontal="center" vertical="center"/>
    </xf>
    <xf numFmtId="199" fontId="17" fillId="57" borderId="34" xfId="96" applyNumberFormat="1" applyFont="1" applyFill="1" applyBorder="1" applyAlignment="1">
      <alignment horizontal="center" vertical="center"/>
    </xf>
    <xf numFmtId="199" fontId="16" fillId="57" borderId="34" xfId="96" applyNumberFormat="1" applyFont="1" applyFill="1" applyBorder="1" applyAlignment="1">
      <alignment horizontal="center" vertical="center"/>
    </xf>
    <xf numFmtId="199" fontId="0" fillId="0" borderId="0" xfId="0" applyNumberFormat="1" applyAlignment="1">
      <alignment vertical="center"/>
    </xf>
    <xf numFmtId="199" fontId="11" fillId="57" borderId="34" xfId="0" applyNumberFormat="1" applyFont="1" applyFill="1" applyBorder="1" applyAlignment="1">
      <alignment vertical="center"/>
    </xf>
    <xf numFmtId="199" fontId="21" fillId="16" borderId="34" xfId="96" applyNumberFormat="1" applyFont="1" applyFill="1" applyBorder="1" applyAlignment="1">
      <alignment horizontal="center" vertical="center" wrapText="1"/>
    </xf>
    <xf numFmtId="188" fontId="10" fillId="0" borderId="42" xfId="0" applyNumberFormat="1" applyFont="1" applyFill="1" applyBorder="1" applyAlignment="1">
      <alignment horizontal="right" vertical="center"/>
    </xf>
    <xf numFmtId="188" fontId="16" fillId="0" borderId="42" xfId="0" applyNumberFormat="1" applyFont="1" applyFill="1" applyBorder="1" applyAlignment="1">
      <alignment horizontal="right" vertical="center"/>
    </xf>
    <xf numFmtId="188" fontId="11" fillId="0" borderId="42" xfId="0" applyNumberFormat="1" applyFont="1" applyFill="1" applyBorder="1" applyAlignment="1">
      <alignment horizontal="right" vertical="center"/>
    </xf>
    <xf numFmtId="188" fontId="10" fillId="0" borderId="52" xfId="0" applyNumberFormat="1" applyFont="1" applyFill="1" applyBorder="1" applyAlignment="1">
      <alignment horizontal="right" vertical="center"/>
    </xf>
    <xf numFmtId="188" fontId="11" fillId="0" borderId="32" xfId="0" applyNumberFormat="1" applyFont="1" applyFill="1" applyBorder="1" applyAlignment="1">
      <alignment vertical="center"/>
    </xf>
    <xf numFmtId="188" fontId="11" fillId="0" borderId="42" xfId="0" applyNumberFormat="1" applyFont="1" applyFill="1" applyBorder="1" applyAlignment="1">
      <alignment vertical="center"/>
    </xf>
    <xf numFmtId="188" fontId="16" fillId="0" borderId="42" xfId="0" applyNumberFormat="1" applyFont="1" applyFill="1" applyBorder="1" applyAlignment="1">
      <alignment vertical="center"/>
    </xf>
    <xf numFmtId="186" fontId="10" fillId="0" borderId="25" xfId="0" applyNumberFormat="1" applyFont="1" applyBorder="1" applyAlignment="1">
      <alignment horizontal="center" vertical="center"/>
    </xf>
    <xf numFmtId="188" fontId="10" fillId="0" borderId="22" xfId="0" applyNumberFormat="1" applyFont="1" applyBorder="1" applyAlignment="1">
      <alignment horizontal="center" vertical="center"/>
    </xf>
    <xf numFmtId="188" fontId="10" fillId="0" borderId="49" xfId="0" applyNumberFormat="1" applyFont="1" applyBorder="1" applyAlignment="1">
      <alignment horizontal="center" vertical="center"/>
    </xf>
    <xf numFmtId="188" fontId="10" fillId="0" borderId="50" xfId="0" applyNumberFormat="1" applyFont="1" applyBorder="1" applyAlignment="1">
      <alignment horizontal="center" vertical="center"/>
    </xf>
    <xf numFmtId="188" fontId="10" fillId="0" borderId="50" xfId="0" applyNumberFormat="1" applyFont="1" applyBorder="1" applyAlignment="1">
      <alignment vertical="center"/>
    </xf>
    <xf numFmtId="188" fontId="10" fillId="0" borderId="22" xfId="0" applyNumberFormat="1" applyFont="1" applyBorder="1" applyAlignment="1">
      <alignment vertical="center"/>
    </xf>
    <xf numFmtId="188" fontId="10" fillId="0" borderId="49" xfId="0" applyNumberFormat="1" applyFont="1" applyBorder="1" applyAlignment="1">
      <alignment vertical="center"/>
    </xf>
    <xf numFmtId="189" fontId="10" fillId="0" borderId="22" xfId="0" applyNumberFormat="1" applyFont="1" applyBorder="1" applyAlignment="1">
      <alignment vertical="center"/>
    </xf>
    <xf numFmtId="188" fontId="10" fillId="0" borderId="53" xfId="0" applyNumberFormat="1" applyFont="1" applyBorder="1" applyAlignment="1">
      <alignment vertical="center"/>
    </xf>
    <xf numFmtId="188" fontId="10" fillId="0" borderId="25" xfId="0" applyNumberFormat="1" applyFont="1" applyBorder="1" applyAlignment="1">
      <alignment vertical="center"/>
    </xf>
    <xf numFmtId="188" fontId="10" fillId="0" borderId="34" xfId="0" applyNumberFormat="1" applyFont="1" applyFill="1" applyBorder="1" applyAlignment="1">
      <alignment vertical="center"/>
    </xf>
    <xf numFmtId="188" fontId="10" fillId="0" borderId="34" xfId="0" applyNumberFormat="1" applyFont="1" applyFill="1" applyBorder="1" applyAlignment="1">
      <alignment horizontal="right" vertical="center"/>
    </xf>
    <xf numFmtId="188" fontId="10" fillId="0" borderId="0" xfId="0" applyNumberFormat="1" applyFont="1" applyAlignment="1">
      <alignment horizontal="center" vertical="center"/>
    </xf>
    <xf numFmtId="0" fontId="10" fillId="56" borderId="34" xfId="0" applyFont="1" applyFill="1" applyBorder="1" applyAlignment="1">
      <alignment horizontal="center" vertical="center"/>
    </xf>
    <xf numFmtId="188" fontId="16" fillId="0" borderId="32" xfId="0" applyNumberFormat="1" applyFont="1" applyFill="1" applyBorder="1" applyAlignment="1">
      <alignment vertical="center"/>
    </xf>
    <xf numFmtId="0" fontId="10" fillId="57" borderId="34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88" fontId="10" fillId="0" borderId="46" xfId="0" applyNumberFormat="1" applyFont="1" applyFill="1" applyBorder="1" applyAlignment="1">
      <alignment horizontal="right" vertical="center"/>
    </xf>
    <xf numFmtId="188" fontId="10" fillId="0" borderId="54" xfId="0" applyNumberFormat="1" applyFont="1" applyBorder="1" applyAlignment="1">
      <alignment horizontal="right" vertical="center"/>
    </xf>
    <xf numFmtId="188" fontId="10" fillId="0" borderId="55" xfId="0" applyNumberFormat="1" applyFont="1" applyBorder="1" applyAlignment="1">
      <alignment horizontal="right" vertical="center"/>
    </xf>
    <xf numFmtId="188" fontId="10" fillId="0" borderId="49" xfId="0" applyNumberFormat="1" applyFont="1" applyBorder="1" applyAlignment="1">
      <alignment horizontal="right" vertical="center"/>
    </xf>
    <xf numFmtId="186" fontId="11" fillId="57" borderId="34" xfId="0" applyNumberFormat="1" applyFont="1" applyFill="1" applyBorder="1" applyAlignment="1">
      <alignment vertical="center"/>
    </xf>
    <xf numFmtId="0" fontId="10" fillId="56" borderId="34" xfId="0" applyFont="1" applyFill="1" applyBorder="1" applyAlignment="1">
      <alignment horizontal="center" vertical="center"/>
    </xf>
    <xf numFmtId="0" fontId="10" fillId="57" borderId="34" xfId="0" applyFont="1" applyFill="1" applyBorder="1" applyAlignment="1">
      <alignment horizontal="center" vertical="center"/>
    </xf>
    <xf numFmtId="188" fontId="10" fillId="0" borderId="51" xfId="0" applyNumberFormat="1" applyFont="1" applyBorder="1" applyAlignment="1">
      <alignment vertical="center"/>
    </xf>
    <xf numFmtId="0" fontId="10" fillId="56" borderId="34" xfId="0" applyFont="1" applyFill="1" applyBorder="1" applyAlignment="1">
      <alignment horizontal="center" vertical="center"/>
    </xf>
    <xf numFmtId="189" fontId="10" fillId="16" borderId="0" xfId="0" applyNumberFormat="1" applyFont="1" applyFill="1" applyBorder="1" applyAlignment="1">
      <alignment horizontal="center" vertical="center"/>
    </xf>
    <xf numFmtId="189" fontId="11" fillId="0" borderId="0" xfId="0" applyNumberFormat="1" applyFont="1" applyFill="1" applyAlignment="1">
      <alignment horizontal="center" vertical="center"/>
    </xf>
    <xf numFmtId="189" fontId="11" fillId="0" borderId="0" xfId="0" applyNumberFormat="1" applyFont="1" applyFill="1" applyBorder="1" applyAlignment="1">
      <alignment horizontal="center" vertical="center"/>
    </xf>
    <xf numFmtId="199" fontId="16" fillId="0" borderId="0" xfId="96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199" fontId="13" fillId="0" borderId="0" xfId="96" applyNumberFormat="1" applyFont="1" applyFill="1" applyBorder="1" applyAlignment="1">
      <alignment horizontal="center" vertical="center" wrapText="1"/>
    </xf>
    <xf numFmtId="189" fontId="0" fillId="0" borderId="0" xfId="0" applyNumberFormat="1" applyFont="1" applyFill="1" applyAlignment="1">
      <alignment vertical="center"/>
    </xf>
    <xf numFmtId="189" fontId="15" fillId="0" borderId="0" xfId="0" applyNumberFormat="1" applyFont="1" applyFill="1" applyBorder="1" applyAlignment="1">
      <alignment vertical="center" wrapText="1"/>
    </xf>
    <xf numFmtId="188" fontId="10" fillId="0" borderId="0" xfId="0" applyNumberFormat="1" applyFont="1" applyFill="1" applyBorder="1" applyAlignment="1">
      <alignment vertical="center"/>
    </xf>
    <xf numFmtId="188" fontId="10" fillId="0" borderId="56" xfId="0" applyNumberFormat="1" applyFont="1" applyFill="1" applyBorder="1" applyAlignment="1">
      <alignment vertical="center"/>
    </xf>
    <xf numFmtId="188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57" borderId="34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86" fontId="6" fillId="0" borderId="58" xfId="102" applyNumberFormat="1" applyFont="1" applyBorder="1" applyAlignment="1">
      <alignment horizontal="center"/>
    </xf>
    <xf numFmtId="186" fontId="6" fillId="0" borderId="59" xfId="102" applyNumberFormat="1" applyFont="1" applyBorder="1" applyAlignment="1">
      <alignment horizontal="center"/>
    </xf>
    <xf numFmtId="186" fontId="6" fillId="0" borderId="60" xfId="102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57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56" borderId="34" xfId="0" applyFont="1" applyFill="1" applyBorder="1" applyAlignment="1">
      <alignment horizontal="center" vertical="center"/>
    </xf>
    <xf numFmtId="0" fontId="10" fillId="58" borderId="34" xfId="0" applyFont="1" applyFill="1" applyBorder="1" applyAlignment="1">
      <alignment horizontal="center" vertical="center"/>
    </xf>
    <xf numFmtId="0" fontId="10" fillId="58" borderId="32" xfId="0" applyFont="1" applyFill="1" applyBorder="1" applyAlignment="1">
      <alignment horizontal="center" vertical="center"/>
    </xf>
    <xf numFmtId="0" fontId="10" fillId="58" borderId="31" xfId="0" applyFont="1" applyFill="1" applyBorder="1" applyAlignment="1">
      <alignment horizontal="center" vertical="center"/>
    </xf>
    <xf numFmtId="0" fontId="10" fillId="58" borderId="33" xfId="0" applyFont="1" applyFill="1" applyBorder="1" applyAlignment="1">
      <alignment horizontal="center" vertical="center"/>
    </xf>
    <xf numFmtId="0" fontId="10" fillId="57" borderId="32" xfId="0" applyFont="1" applyFill="1" applyBorder="1" applyAlignment="1">
      <alignment horizontal="center" vertical="center"/>
    </xf>
    <xf numFmtId="0" fontId="10" fillId="57" borderId="31" xfId="0" applyFont="1" applyFill="1" applyBorder="1" applyAlignment="1">
      <alignment horizontal="center" vertical="center"/>
    </xf>
    <xf numFmtId="0" fontId="10" fillId="57" borderId="33" xfId="0" applyFont="1" applyFill="1" applyBorder="1" applyAlignment="1">
      <alignment horizontal="center" vertical="center"/>
    </xf>
    <xf numFmtId="186" fontId="10" fillId="0" borderId="34" xfId="0" applyNumberFormat="1" applyFont="1" applyBorder="1" applyAlignment="1">
      <alignment horizontal="center" vertical="center"/>
    </xf>
    <xf numFmtId="199" fontId="17" fillId="60" borderId="34" xfId="96" applyNumberFormat="1" applyFont="1" applyFill="1" applyBorder="1" applyAlignment="1">
      <alignment horizontal="center" vertical="center"/>
    </xf>
  </cellXfs>
  <cellStyles count="93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Процентный 2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Финансовый 2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55</xdr:row>
      <xdr:rowOff>152400</xdr:rowOff>
    </xdr:from>
    <xdr:to>
      <xdr:col>10</xdr:col>
      <xdr:colOff>28575</xdr:colOff>
      <xdr:row>57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067550" y="3657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23</xdr:col>
      <xdr:colOff>0</xdr:colOff>
      <xdr:row>218</xdr:row>
      <xdr:rowOff>161925</xdr:rowOff>
    </xdr:from>
    <xdr:to>
      <xdr:col>23</xdr:col>
      <xdr:colOff>0</xdr:colOff>
      <xdr:row>220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2125325" y="328041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2</xdr:col>
      <xdr:colOff>0</xdr:colOff>
      <xdr:row>100</xdr:row>
      <xdr:rowOff>314325</xdr:rowOff>
    </xdr:from>
    <xdr:to>
      <xdr:col>2</xdr:col>
      <xdr:colOff>0</xdr:colOff>
      <xdr:row>103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067550" y="11153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208</xdr:row>
      <xdr:rowOff>152400</xdr:rowOff>
    </xdr:from>
    <xdr:to>
      <xdr:col>63</xdr:col>
      <xdr:colOff>0</xdr:colOff>
      <xdr:row>210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97125" y="29517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="75" zoomScaleNormal="75" zoomScalePageLayoutView="0" workbookViewId="0" topLeftCell="A1">
      <selection activeCell="H22" sqref="H22:I22"/>
    </sheetView>
  </sheetViews>
  <sheetFormatPr defaultColWidth="9.00390625" defaultRowHeight="12.75"/>
  <cols>
    <col min="1" max="1" width="16.25390625" style="5" customWidth="1"/>
    <col min="2" max="2" width="8.00390625" style="2" customWidth="1"/>
    <col min="3" max="3" width="11.125" style="2" bestFit="1" customWidth="1"/>
    <col min="4" max="4" width="9.875" style="2" bestFit="1" customWidth="1"/>
    <col min="5" max="5" width="8.75390625" style="2" customWidth="1"/>
    <col min="6" max="6" width="8.625" style="2" bestFit="1" customWidth="1"/>
    <col min="7" max="7" width="8.25390625" style="2" bestFit="1" customWidth="1"/>
    <col min="8" max="8" width="6.875" style="2" customWidth="1"/>
    <col min="9" max="9" width="6.75390625" style="2" customWidth="1"/>
    <col min="10" max="10" width="9.875" style="2" bestFit="1" customWidth="1"/>
    <col min="11" max="11" width="8.25390625" style="2" bestFit="1" customWidth="1"/>
    <col min="12" max="12" width="8.75390625" style="2" customWidth="1"/>
    <col min="13" max="13" width="7.375" style="2" customWidth="1"/>
    <col min="14" max="14" width="8.00390625" style="2" customWidth="1"/>
    <col min="15" max="15" width="9.375" style="2" customWidth="1"/>
    <col min="16" max="16" width="6.875" style="2" customWidth="1"/>
    <col min="17" max="17" width="7.25390625" style="2" customWidth="1"/>
    <col min="18" max="18" width="8.375" style="2" customWidth="1"/>
    <col min="19" max="19" width="10.25390625" style="2" customWidth="1"/>
    <col min="20" max="20" width="7.625" style="2" customWidth="1"/>
    <col min="21" max="22" width="8.25390625" style="2" bestFit="1" customWidth="1"/>
    <col min="23" max="23" width="13.875" style="2" customWidth="1"/>
    <col min="24" max="24" width="8.75390625" style="2" customWidth="1"/>
    <col min="25" max="25" width="12.25390625" style="3" customWidth="1"/>
    <col min="26" max="16384" width="9.125" style="2" customWidth="1"/>
  </cols>
  <sheetData>
    <row r="2" ht="18">
      <c r="A2" s="1" t="s">
        <v>25</v>
      </c>
    </row>
    <row r="3" ht="21.75" customHeight="1">
      <c r="A3" s="4" t="s">
        <v>40</v>
      </c>
    </row>
    <row r="4" ht="12" thickBot="1"/>
    <row r="5" spans="1:25" s="7" customFormat="1" ht="21.75" customHeight="1" thickBot="1">
      <c r="A5" s="6"/>
      <c r="B5" s="639" t="s">
        <v>1</v>
      </c>
      <c r="C5" s="640"/>
      <c r="D5" s="640"/>
      <c r="E5" s="640"/>
      <c r="F5" s="640"/>
      <c r="G5" s="640"/>
      <c r="H5" s="640"/>
      <c r="I5" s="640"/>
      <c r="J5" s="637" t="s">
        <v>2</v>
      </c>
      <c r="K5" s="641" t="s">
        <v>3</v>
      </c>
      <c r="L5" s="642"/>
      <c r="M5" s="642"/>
      <c r="N5" s="643"/>
      <c r="O5" s="644" t="s">
        <v>4</v>
      </c>
      <c r="P5" s="640"/>
      <c r="Q5" s="640"/>
      <c r="R5" s="640"/>
      <c r="S5" s="640"/>
      <c r="T5" s="640"/>
      <c r="U5" s="640"/>
      <c r="V5" s="645"/>
      <c r="W5" s="646" t="s">
        <v>5</v>
      </c>
      <c r="X5" s="647"/>
      <c r="Y5" s="637" t="s">
        <v>6</v>
      </c>
    </row>
    <row r="6" spans="1:25" s="17" customFormat="1" ht="51" customHeight="1">
      <c r="A6" s="8"/>
      <c r="B6" s="9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33</v>
      </c>
      <c r="H6" s="10" t="s">
        <v>35</v>
      </c>
      <c r="I6" s="10" t="s">
        <v>12</v>
      </c>
      <c r="J6" s="651"/>
      <c r="K6" s="12" t="s">
        <v>13</v>
      </c>
      <c r="L6" s="10" t="s">
        <v>14</v>
      </c>
      <c r="M6" s="10" t="s">
        <v>34</v>
      </c>
      <c r="N6" s="13" t="s">
        <v>15</v>
      </c>
      <c r="O6" s="12" t="s">
        <v>16</v>
      </c>
      <c r="P6" s="9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4" t="s">
        <v>22</v>
      </c>
      <c r="V6" s="14" t="s">
        <v>23</v>
      </c>
      <c r="W6" s="15" t="s">
        <v>24</v>
      </c>
      <c r="X6" s="16" t="s">
        <v>32</v>
      </c>
      <c r="Y6" s="638"/>
    </row>
    <row r="7" spans="1:25" s="20" customFormat="1" ht="19.5" customHeight="1">
      <c r="A7" s="18" t="s">
        <v>25</v>
      </c>
      <c r="B7" s="30">
        <v>357.489633</v>
      </c>
      <c r="C7" s="31">
        <v>350.835245</v>
      </c>
      <c r="D7" s="31">
        <v>1020.88778</v>
      </c>
      <c r="E7" s="32">
        <v>60.905</v>
      </c>
      <c r="F7" s="31">
        <v>4.85605</v>
      </c>
      <c r="G7" s="32">
        <v>264.12153</v>
      </c>
      <c r="H7" s="32"/>
      <c r="I7" s="32"/>
      <c r="J7" s="33">
        <v>1034.164</v>
      </c>
      <c r="K7" s="34">
        <v>102.395</v>
      </c>
      <c r="L7" s="31">
        <f>127.874345+65.428</f>
        <v>193.302345</v>
      </c>
      <c r="M7" s="31">
        <f>0</f>
        <v>0</v>
      </c>
      <c r="N7" s="31">
        <f>84.430965+22.21246+6.938+107.009734</f>
        <v>220.591159</v>
      </c>
      <c r="O7" s="34">
        <v>211.772</v>
      </c>
      <c r="P7" s="31">
        <v>6.49177193</v>
      </c>
      <c r="Q7" s="32"/>
      <c r="R7" s="32">
        <v>352.616</v>
      </c>
      <c r="S7" s="31">
        <v>1555.523</v>
      </c>
      <c r="T7" s="31">
        <v>19.615869999999997</v>
      </c>
      <c r="U7" s="32"/>
      <c r="V7" s="36"/>
      <c r="W7" s="37"/>
      <c r="X7" s="38"/>
      <c r="Y7" s="55">
        <f>SUM(B7:X7)</f>
        <v>5755.56638393</v>
      </c>
    </row>
    <row r="8" spans="1:25" s="20" customFormat="1" ht="19.5" customHeight="1">
      <c r="A8" s="18" t="s">
        <v>0</v>
      </c>
      <c r="B8" s="32"/>
      <c r="C8" s="31">
        <v>586.36877</v>
      </c>
      <c r="D8" s="31">
        <v>389.12722</v>
      </c>
      <c r="E8" s="31">
        <v>32.1</v>
      </c>
      <c r="F8" s="39"/>
      <c r="G8" s="39"/>
      <c r="H8" s="40"/>
      <c r="I8" s="40"/>
      <c r="J8" s="33">
        <v>396.2</v>
      </c>
      <c r="K8" s="41"/>
      <c r="L8" s="39"/>
      <c r="M8" s="39"/>
      <c r="N8" s="42"/>
      <c r="O8" s="31">
        <v>60.70647</v>
      </c>
      <c r="P8" s="39"/>
      <c r="Q8" s="43"/>
      <c r="R8" s="31">
        <v>131.6</v>
      </c>
      <c r="S8" s="31">
        <v>1162.517543859649</v>
      </c>
      <c r="T8" s="31">
        <v>25.8</v>
      </c>
      <c r="U8" s="39"/>
      <c r="V8" s="42"/>
      <c r="W8" s="31">
        <v>11</v>
      </c>
      <c r="X8" s="31">
        <v>0.8692000000000001</v>
      </c>
      <c r="Y8" s="55">
        <f>SUM(B8:X8)</f>
        <v>2796.289203859649</v>
      </c>
    </row>
    <row r="9" spans="1:25" s="20" customFormat="1" ht="19.5" customHeight="1" thickBot="1">
      <c r="A9" s="18" t="s">
        <v>26</v>
      </c>
      <c r="B9" s="32"/>
      <c r="C9" s="31"/>
      <c r="D9" s="31">
        <v>372.6972</v>
      </c>
      <c r="E9" s="31">
        <v>84.4846</v>
      </c>
      <c r="F9" s="39"/>
      <c r="G9" s="39"/>
      <c r="H9" s="40"/>
      <c r="I9" s="40"/>
      <c r="J9" s="33">
        <v>63.8091</v>
      </c>
      <c r="K9" s="44">
        <v>84.6219</v>
      </c>
      <c r="L9" s="32"/>
      <c r="M9" s="32"/>
      <c r="N9" s="36"/>
      <c r="O9" s="31"/>
      <c r="P9" s="32"/>
      <c r="Q9" s="31"/>
      <c r="R9" s="31"/>
      <c r="S9" s="31"/>
      <c r="T9" s="31"/>
      <c r="U9" s="32">
        <v>92.6948</v>
      </c>
      <c r="V9" s="36">
        <v>319.4197</v>
      </c>
      <c r="W9" s="31"/>
      <c r="X9" s="31"/>
      <c r="Y9" s="55">
        <f>SUM(B9:X9)</f>
        <v>1017.7273</v>
      </c>
    </row>
    <row r="10" spans="1:25" s="24" customFormat="1" ht="19.5" customHeight="1" thickBot="1">
      <c r="A10" s="22" t="s">
        <v>27</v>
      </c>
      <c r="B10" s="45">
        <f aca="true" t="shared" si="0" ref="B10:R10">SUM(B7:B9)</f>
        <v>357.489633</v>
      </c>
      <c r="C10" s="46">
        <f t="shared" si="0"/>
        <v>937.204015</v>
      </c>
      <c r="D10" s="46">
        <f t="shared" si="0"/>
        <v>1782.7122000000002</v>
      </c>
      <c r="E10" s="46">
        <f t="shared" si="0"/>
        <v>177.4896</v>
      </c>
      <c r="F10" s="46">
        <f t="shared" si="0"/>
        <v>4.85605</v>
      </c>
      <c r="G10" s="46">
        <f t="shared" si="0"/>
        <v>264.12153</v>
      </c>
      <c r="H10" s="46"/>
      <c r="I10" s="46">
        <f t="shared" si="0"/>
        <v>0</v>
      </c>
      <c r="J10" s="47">
        <f t="shared" si="0"/>
        <v>1494.1731</v>
      </c>
      <c r="K10" s="48">
        <f t="shared" si="0"/>
        <v>187.0169</v>
      </c>
      <c r="L10" s="46">
        <f t="shared" si="0"/>
        <v>193.302345</v>
      </c>
      <c r="M10" s="46">
        <f t="shared" si="0"/>
        <v>0</v>
      </c>
      <c r="N10" s="49">
        <f t="shared" si="0"/>
        <v>220.591159</v>
      </c>
      <c r="O10" s="48">
        <f t="shared" si="0"/>
        <v>272.47847</v>
      </c>
      <c r="P10" s="46">
        <f t="shared" si="0"/>
        <v>6.49177193</v>
      </c>
      <c r="Q10" s="46">
        <f t="shared" si="0"/>
        <v>0</v>
      </c>
      <c r="R10" s="46">
        <f t="shared" si="0"/>
        <v>484.216</v>
      </c>
      <c r="S10" s="46">
        <f aca="true" t="shared" si="1" ref="S10:Y10">SUM(S7:S9)</f>
        <v>2718.040543859649</v>
      </c>
      <c r="T10" s="46">
        <f t="shared" si="1"/>
        <v>45.41587</v>
      </c>
      <c r="U10" s="46">
        <f t="shared" si="1"/>
        <v>92.6948</v>
      </c>
      <c r="V10" s="49">
        <f t="shared" si="1"/>
        <v>319.4197</v>
      </c>
      <c r="W10" s="46">
        <f t="shared" si="1"/>
        <v>11</v>
      </c>
      <c r="X10" s="46">
        <f t="shared" si="1"/>
        <v>0.8692000000000001</v>
      </c>
      <c r="Y10" s="56">
        <f t="shared" si="1"/>
        <v>9569.58288778965</v>
      </c>
    </row>
    <row r="11" spans="1:25" s="24" customFormat="1" ht="19.5" customHeight="1" thickBot="1">
      <c r="A11" s="25" t="s">
        <v>28</v>
      </c>
      <c r="B11" s="648">
        <f>SUM(B10:I10)</f>
        <v>3523.873028</v>
      </c>
      <c r="C11" s="649"/>
      <c r="D11" s="649"/>
      <c r="E11" s="649"/>
      <c r="F11" s="649"/>
      <c r="G11" s="649"/>
      <c r="H11" s="649"/>
      <c r="I11" s="650"/>
      <c r="J11" s="50">
        <f>SUM(J10)</f>
        <v>1494.1731</v>
      </c>
      <c r="K11" s="648">
        <f>SUM(K10:N10)</f>
        <v>600.910404</v>
      </c>
      <c r="L11" s="649"/>
      <c r="M11" s="649"/>
      <c r="N11" s="649"/>
      <c r="O11" s="648">
        <f>SUM(O10:V10)</f>
        <v>3938.757155789649</v>
      </c>
      <c r="P11" s="649"/>
      <c r="Q11" s="649"/>
      <c r="R11" s="649"/>
      <c r="S11" s="649"/>
      <c r="T11" s="649"/>
      <c r="U11" s="649"/>
      <c r="V11" s="650"/>
      <c r="W11" s="648">
        <f>SUM(W10:X10)</f>
        <v>11.8692</v>
      </c>
      <c r="X11" s="649"/>
      <c r="Y11" s="57">
        <f>SUM(B11:X11)</f>
        <v>9569.582887789647</v>
      </c>
    </row>
    <row r="12" spans="5:25" ht="11.25">
      <c r="E12" s="51"/>
      <c r="J12" s="52"/>
      <c r="L12" s="51"/>
      <c r="R12" s="51"/>
      <c r="Y12" s="53"/>
    </row>
    <row r="13" ht="16.5" customHeight="1">
      <c r="A13" s="5" t="s">
        <v>36</v>
      </c>
    </row>
    <row r="14" ht="16.5" customHeight="1">
      <c r="A14" s="5" t="s">
        <v>37</v>
      </c>
    </row>
    <row r="15" ht="16.5" customHeight="1">
      <c r="A15" s="5" t="s">
        <v>38</v>
      </c>
    </row>
    <row r="16" ht="33" customHeight="1">
      <c r="A16" s="4" t="s">
        <v>41</v>
      </c>
    </row>
    <row r="17" ht="12" thickBot="1"/>
    <row r="18" spans="1:25" s="7" customFormat="1" ht="21.75" customHeight="1" thickBot="1">
      <c r="A18" s="6"/>
      <c r="B18" s="639" t="s">
        <v>1</v>
      </c>
      <c r="C18" s="640"/>
      <c r="D18" s="640"/>
      <c r="E18" s="640"/>
      <c r="F18" s="640"/>
      <c r="G18" s="640"/>
      <c r="H18" s="640"/>
      <c r="I18" s="640"/>
      <c r="J18" s="637" t="s">
        <v>2</v>
      </c>
      <c r="K18" s="641" t="s">
        <v>3</v>
      </c>
      <c r="L18" s="642"/>
      <c r="M18" s="642"/>
      <c r="N18" s="643"/>
      <c r="O18" s="644" t="s">
        <v>4</v>
      </c>
      <c r="P18" s="640"/>
      <c r="Q18" s="640"/>
      <c r="R18" s="640"/>
      <c r="S18" s="640"/>
      <c r="T18" s="640"/>
      <c r="U18" s="640"/>
      <c r="V18" s="645"/>
      <c r="W18" s="646" t="s">
        <v>5</v>
      </c>
      <c r="X18" s="647"/>
      <c r="Y18" s="637" t="s">
        <v>6</v>
      </c>
    </row>
    <row r="19" spans="1:25" s="17" customFormat="1" ht="51" customHeight="1">
      <c r="A19" s="8"/>
      <c r="B19" s="9" t="s">
        <v>7</v>
      </c>
      <c r="C19" s="10" t="s">
        <v>8</v>
      </c>
      <c r="D19" s="10" t="s">
        <v>9</v>
      </c>
      <c r="E19" s="10" t="s">
        <v>10</v>
      </c>
      <c r="F19" s="10" t="s">
        <v>11</v>
      </c>
      <c r="G19" s="10" t="s">
        <v>33</v>
      </c>
      <c r="H19" s="10" t="s">
        <v>35</v>
      </c>
      <c r="I19" s="10" t="s">
        <v>12</v>
      </c>
      <c r="J19" s="651"/>
      <c r="K19" s="12" t="s">
        <v>13</v>
      </c>
      <c r="L19" s="10" t="s">
        <v>14</v>
      </c>
      <c r="M19" s="10" t="s">
        <v>34</v>
      </c>
      <c r="N19" s="13" t="s">
        <v>15</v>
      </c>
      <c r="O19" s="12" t="s">
        <v>16</v>
      </c>
      <c r="P19" s="9" t="s">
        <v>17</v>
      </c>
      <c r="Q19" s="10" t="s">
        <v>18</v>
      </c>
      <c r="R19" s="10" t="s">
        <v>19</v>
      </c>
      <c r="S19" s="10" t="s">
        <v>20</v>
      </c>
      <c r="T19" s="10" t="s">
        <v>21</v>
      </c>
      <c r="U19" s="14" t="s">
        <v>22</v>
      </c>
      <c r="V19" s="14" t="s">
        <v>23</v>
      </c>
      <c r="W19" s="15" t="s">
        <v>29</v>
      </c>
      <c r="X19" s="16" t="s">
        <v>32</v>
      </c>
      <c r="Y19" s="638"/>
    </row>
    <row r="20" spans="1:25" s="20" customFormat="1" ht="18.75" customHeight="1">
      <c r="A20" s="18" t="s">
        <v>25</v>
      </c>
      <c r="B20" s="30">
        <v>449.778997</v>
      </c>
      <c r="C20" s="31">
        <v>497.832155</v>
      </c>
      <c r="D20" s="31">
        <v>987.170465</v>
      </c>
      <c r="E20" s="32">
        <v>47.511</v>
      </c>
      <c r="F20" s="31">
        <v>136.074</v>
      </c>
      <c r="G20" s="32">
        <v>1.099</v>
      </c>
      <c r="H20" s="32"/>
      <c r="I20" s="32"/>
      <c r="J20" s="33">
        <v>1113.954</v>
      </c>
      <c r="K20" s="34">
        <v>102.05</v>
      </c>
      <c r="L20" s="31">
        <v>183.91377</v>
      </c>
      <c r="M20" s="31">
        <v>5.694</v>
      </c>
      <c r="N20" s="35">
        <v>202.977972</v>
      </c>
      <c r="O20" s="34">
        <v>139.20367500000003</v>
      </c>
      <c r="P20" s="31">
        <v>6.834144580000001</v>
      </c>
      <c r="Q20" s="32"/>
      <c r="R20" s="32">
        <v>348.2</v>
      </c>
      <c r="S20" s="31">
        <v>1636.21742</v>
      </c>
      <c r="T20" s="31">
        <v>23.251956</v>
      </c>
      <c r="U20" s="32"/>
      <c r="V20" s="36"/>
      <c r="W20" s="37"/>
      <c r="X20" s="38"/>
      <c r="Y20" s="55">
        <f>SUM(B20:X20)</f>
        <v>5881.762554580001</v>
      </c>
    </row>
    <row r="21" spans="1:25" s="20" customFormat="1" ht="18.75" customHeight="1">
      <c r="A21" s="18" t="s">
        <v>0</v>
      </c>
      <c r="B21" s="32"/>
      <c r="C21" s="31">
        <v>622</v>
      </c>
      <c r="D21" s="31">
        <v>585.7</v>
      </c>
      <c r="E21" s="31">
        <v>106.6</v>
      </c>
      <c r="F21" s="39"/>
      <c r="G21" s="39"/>
      <c r="H21" s="40"/>
      <c r="I21" s="40"/>
      <c r="J21" s="33">
        <v>474.4</v>
      </c>
      <c r="K21" s="41"/>
      <c r="L21" s="39"/>
      <c r="M21" s="39"/>
      <c r="N21" s="42"/>
      <c r="O21" s="31">
        <v>49.7</v>
      </c>
      <c r="P21" s="31" t="s">
        <v>39</v>
      </c>
      <c r="Q21" s="31" t="s">
        <v>39</v>
      </c>
      <c r="R21" s="31">
        <v>206.1</v>
      </c>
      <c r="S21" s="31">
        <v>1373.3333333333335</v>
      </c>
      <c r="T21" s="31">
        <v>34.1</v>
      </c>
      <c r="U21" s="31"/>
      <c r="V21" s="42"/>
      <c r="W21" s="34">
        <v>12.7</v>
      </c>
      <c r="X21" s="35">
        <v>0.5441</v>
      </c>
      <c r="Y21" s="55">
        <f>SUM(B21:X21)</f>
        <v>3465.177433333333</v>
      </c>
    </row>
    <row r="22" spans="1:25" s="20" customFormat="1" ht="18.75" customHeight="1" thickBot="1">
      <c r="A22" s="21" t="s">
        <v>26</v>
      </c>
      <c r="B22" s="32"/>
      <c r="C22" s="31"/>
      <c r="D22" s="31">
        <v>614.3746</v>
      </c>
      <c r="E22" s="31">
        <v>143.6111</v>
      </c>
      <c r="F22" s="39"/>
      <c r="G22" s="32"/>
      <c r="H22" s="38"/>
      <c r="I22" s="38"/>
      <c r="J22" s="33">
        <v>101.5367</v>
      </c>
      <c r="K22" s="44">
        <v>128.7658</v>
      </c>
      <c r="L22" s="32"/>
      <c r="M22" s="32"/>
      <c r="N22" s="36"/>
      <c r="O22" s="31"/>
      <c r="P22" s="32"/>
      <c r="Q22" s="31"/>
      <c r="R22" s="31"/>
      <c r="S22" s="31"/>
      <c r="T22" s="31"/>
      <c r="U22" s="32">
        <v>156.7524</v>
      </c>
      <c r="V22" s="36">
        <v>488.6893</v>
      </c>
      <c r="W22" s="31"/>
      <c r="X22" s="31"/>
      <c r="Y22" s="55">
        <f>SUM(B22:X22)</f>
        <v>1633.7299</v>
      </c>
    </row>
    <row r="23" spans="1:25" s="24" customFormat="1" ht="18.75" customHeight="1" thickBot="1">
      <c r="A23" s="22" t="s">
        <v>27</v>
      </c>
      <c r="B23" s="45">
        <f aca="true" t="shared" si="2" ref="B23:H23">SUM(B20:B22)</f>
        <v>449.778997</v>
      </c>
      <c r="C23" s="46">
        <f t="shared" si="2"/>
        <v>1119.832155</v>
      </c>
      <c r="D23" s="46">
        <f t="shared" si="2"/>
        <v>2187.245065</v>
      </c>
      <c r="E23" s="46">
        <f t="shared" si="2"/>
        <v>297.72209999999995</v>
      </c>
      <c r="F23" s="46">
        <f t="shared" si="2"/>
        <v>136.074</v>
      </c>
      <c r="G23" s="46">
        <f t="shared" si="2"/>
        <v>1.099</v>
      </c>
      <c r="H23" s="46">
        <f t="shared" si="2"/>
        <v>0</v>
      </c>
      <c r="I23" s="46">
        <f aca="true" t="shared" si="3" ref="I23:R23">SUM(I20:I22)</f>
        <v>0</v>
      </c>
      <c r="J23" s="47">
        <f t="shared" si="3"/>
        <v>1689.8907</v>
      </c>
      <c r="K23" s="48">
        <f t="shared" si="3"/>
        <v>230.81580000000002</v>
      </c>
      <c r="L23" s="46">
        <f t="shared" si="3"/>
        <v>183.91377</v>
      </c>
      <c r="M23" s="46">
        <f t="shared" si="3"/>
        <v>5.694</v>
      </c>
      <c r="N23" s="49">
        <f t="shared" si="3"/>
        <v>202.977972</v>
      </c>
      <c r="O23" s="48">
        <f t="shared" si="3"/>
        <v>188.90367500000002</v>
      </c>
      <c r="P23" s="46">
        <f t="shared" si="3"/>
        <v>6.834144580000001</v>
      </c>
      <c r="Q23" s="46">
        <f t="shared" si="3"/>
        <v>0</v>
      </c>
      <c r="R23" s="46">
        <f t="shared" si="3"/>
        <v>554.3</v>
      </c>
      <c r="S23" s="46">
        <f>SUM(S20:S22)</f>
        <v>3009.5507533333334</v>
      </c>
      <c r="T23" s="46">
        <f>SUM(T20:T22)</f>
        <v>57.351956</v>
      </c>
      <c r="U23" s="46">
        <f>SUM(U20:U22)</f>
        <v>156.7524</v>
      </c>
      <c r="V23" s="49">
        <f>SUM(V20:V22)</f>
        <v>488.6893</v>
      </c>
      <c r="W23" s="46">
        <f>W21</f>
        <v>12.7</v>
      </c>
      <c r="X23" s="46">
        <f>SUM(X20:X22)</f>
        <v>0.5441</v>
      </c>
      <c r="Y23" s="56">
        <f>SUM(Y20:Y22)</f>
        <v>10980.669887913335</v>
      </c>
    </row>
    <row r="24" spans="1:25" s="24" customFormat="1" ht="18.75" customHeight="1" thickBot="1">
      <c r="A24" s="25" t="s">
        <v>28</v>
      </c>
      <c r="B24" s="648">
        <f>SUM(B23:I23)</f>
        <v>4191.751317</v>
      </c>
      <c r="C24" s="649"/>
      <c r="D24" s="649"/>
      <c r="E24" s="649"/>
      <c r="F24" s="649"/>
      <c r="G24" s="649"/>
      <c r="H24" s="649"/>
      <c r="I24" s="650"/>
      <c r="J24" s="50">
        <f>SUM(J23)</f>
        <v>1689.8907</v>
      </c>
      <c r="K24" s="648">
        <f>SUM(K23:N23)</f>
        <v>623.4015420000001</v>
      </c>
      <c r="L24" s="649"/>
      <c r="M24" s="649"/>
      <c r="N24" s="649"/>
      <c r="O24" s="648">
        <f>SUM(O23:V23)</f>
        <v>4462.382228913333</v>
      </c>
      <c r="P24" s="649"/>
      <c r="Q24" s="649"/>
      <c r="R24" s="649"/>
      <c r="S24" s="649"/>
      <c r="T24" s="649"/>
      <c r="U24" s="649"/>
      <c r="V24" s="650"/>
      <c r="W24" s="648">
        <f>SUM(W23:X23)</f>
        <v>13.2441</v>
      </c>
      <c r="X24" s="649"/>
      <c r="Y24" s="57">
        <f>SUM(B24:X24)</f>
        <v>10980.669887913333</v>
      </c>
    </row>
    <row r="25" ht="11.25">
      <c r="Y25" s="53"/>
    </row>
    <row r="27" spans="1:4" ht="16.5" customHeight="1">
      <c r="A27" s="5" t="s">
        <v>36</v>
      </c>
      <c r="D27" s="29"/>
    </row>
    <row r="28" ht="16.5" customHeight="1">
      <c r="A28" s="5" t="s">
        <v>37</v>
      </c>
    </row>
    <row r="29" ht="16.5" customHeight="1">
      <c r="A29" s="5" t="s">
        <v>38</v>
      </c>
    </row>
  </sheetData>
  <sheetProtection/>
  <mergeCells count="20">
    <mergeCell ref="O24:V24"/>
    <mergeCell ref="W24:X24"/>
    <mergeCell ref="K11:N11"/>
    <mergeCell ref="O5:V5"/>
    <mergeCell ref="K5:N5"/>
    <mergeCell ref="O11:V11"/>
    <mergeCell ref="W5:X5"/>
    <mergeCell ref="W11:X11"/>
    <mergeCell ref="B24:I24"/>
    <mergeCell ref="K24:N24"/>
    <mergeCell ref="J18:J19"/>
    <mergeCell ref="J5:J6"/>
    <mergeCell ref="B5:I5"/>
    <mergeCell ref="B11:I11"/>
    <mergeCell ref="Y5:Y6"/>
    <mergeCell ref="B18:I18"/>
    <mergeCell ref="K18:N18"/>
    <mergeCell ref="O18:V18"/>
    <mergeCell ref="W18:X18"/>
    <mergeCell ref="Y18:Y19"/>
  </mergeCells>
  <printOptions/>
  <pageMargins left="0.4724409448818898" right="0.2362204724409449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2"/>
  <sheetViews>
    <sheetView zoomScale="75" zoomScaleNormal="75" zoomScalePageLayoutView="0" workbookViewId="0" topLeftCell="A1">
      <selection activeCell="H22" sqref="H22:I22"/>
    </sheetView>
  </sheetViews>
  <sheetFormatPr defaultColWidth="9.00390625" defaultRowHeight="12.75"/>
  <cols>
    <col min="1" max="1" width="16.25390625" style="5" customWidth="1"/>
    <col min="2" max="2" width="8.00390625" style="2" customWidth="1"/>
    <col min="3" max="3" width="10.875" style="2" bestFit="1" customWidth="1"/>
    <col min="4" max="4" width="9.875" style="2" bestFit="1" customWidth="1"/>
    <col min="5" max="5" width="8.25390625" style="2" customWidth="1"/>
    <col min="6" max="6" width="8.625" style="2" bestFit="1" customWidth="1"/>
    <col min="7" max="7" width="8.25390625" style="2" bestFit="1" customWidth="1"/>
    <col min="8" max="8" width="6.875" style="2" customWidth="1"/>
    <col min="9" max="9" width="6.75390625" style="2" customWidth="1"/>
    <col min="10" max="11" width="8.25390625" style="2" bestFit="1" customWidth="1"/>
    <col min="12" max="12" width="8.75390625" style="2" customWidth="1"/>
    <col min="13" max="13" width="7.625" style="2" customWidth="1"/>
    <col min="14" max="14" width="8.25390625" style="2" bestFit="1" customWidth="1"/>
    <col min="15" max="15" width="9.75390625" style="2" customWidth="1"/>
    <col min="16" max="16" width="6.875" style="2" customWidth="1"/>
    <col min="17" max="17" width="8.125" style="2" customWidth="1"/>
    <col min="18" max="18" width="8.375" style="2" bestFit="1" customWidth="1"/>
    <col min="19" max="19" width="8.125" style="2" bestFit="1" customWidth="1"/>
    <col min="20" max="20" width="7.625" style="2" customWidth="1"/>
    <col min="21" max="21" width="8.25390625" style="2" bestFit="1" customWidth="1"/>
    <col min="22" max="22" width="7.625" style="2" customWidth="1"/>
    <col min="23" max="23" width="14.625" style="2" customWidth="1"/>
    <col min="24" max="24" width="8.75390625" style="2" customWidth="1"/>
    <col min="25" max="25" width="12.25390625" style="3" customWidth="1"/>
    <col min="26" max="16384" width="9.125" style="2" customWidth="1"/>
  </cols>
  <sheetData>
    <row r="2" ht="18">
      <c r="A2" s="1" t="s">
        <v>25</v>
      </c>
    </row>
    <row r="3" ht="15">
      <c r="A3" s="4" t="s">
        <v>42</v>
      </c>
    </row>
    <row r="4" ht="12" thickBot="1"/>
    <row r="5" spans="1:25" s="7" customFormat="1" ht="21.75" customHeight="1" thickBot="1">
      <c r="A5" s="6"/>
      <c r="B5" s="639" t="s">
        <v>1</v>
      </c>
      <c r="C5" s="640"/>
      <c r="D5" s="640"/>
      <c r="E5" s="640"/>
      <c r="F5" s="640"/>
      <c r="G5" s="640"/>
      <c r="H5" s="640"/>
      <c r="I5" s="640"/>
      <c r="J5" s="6" t="s">
        <v>2</v>
      </c>
      <c r="K5" s="641" t="s">
        <v>3</v>
      </c>
      <c r="L5" s="642"/>
      <c r="M5" s="642"/>
      <c r="N5" s="643"/>
      <c r="O5" s="644" t="s">
        <v>4</v>
      </c>
      <c r="P5" s="640"/>
      <c r="Q5" s="640"/>
      <c r="R5" s="640"/>
      <c r="S5" s="640"/>
      <c r="T5" s="640"/>
      <c r="U5" s="640"/>
      <c r="V5" s="645"/>
      <c r="W5" s="646" t="s">
        <v>5</v>
      </c>
      <c r="X5" s="647"/>
      <c r="Y5" s="637" t="s">
        <v>6</v>
      </c>
    </row>
    <row r="6" spans="1:25" s="17" customFormat="1" ht="51" customHeight="1">
      <c r="A6" s="8"/>
      <c r="B6" s="9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33</v>
      </c>
      <c r="H6" s="10" t="s">
        <v>35</v>
      </c>
      <c r="I6" s="10" t="s">
        <v>12</v>
      </c>
      <c r="J6" s="11"/>
      <c r="K6" s="12" t="s">
        <v>13</v>
      </c>
      <c r="L6" s="10" t="s">
        <v>14</v>
      </c>
      <c r="M6" s="10" t="s">
        <v>34</v>
      </c>
      <c r="N6" s="13" t="s">
        <v>15</v>
      </c>
      <c r="O6" s="12" t="s">
        <v>16</v>
      </c>
      <c r="P6" s="9" t="s">
        <v>17</v>
      </c>
      <c r="Q6" s="10" t="s">
        <v>18</v>
      </c>
      <c r="R6" s="9" t="s">
        <v>19</v>
      </c>
      <c r="S6" s="10" t="s">
        <v>20</v>
      </c>
      <c r="T6" s="10" t="s">
        <v>21</v>
      </c>
      <c r="U6" s="14" t="s">
        <v>22</v>
      </c>
      <c r="V6" s="14" t="s">
        <v>23</v>
      </c>
      <c r="W6" s="15" t="s">
        <v>30</v>
      </c>
      <c r="X6" s="16" t="s">
        <v>31</v>
      </c>
      <c r="Y6" s="638"/>
    </row>
    <row r="7" spans="1:25" s="20" customFormat="1" ht="19.5" customHeight="1">
      <c r="A7" s="18" t="s">
        <v>25</v>
      </c>
      <c r="B7" s="30">
        <f>246.390633+0.4815</f>
        <v>246.87213300000002</v>
      </c>
      <c r="C7" s="31">
        <f>336.95703</f>
        <v>336.95703</v>
      </c>
      <c r="D7" s="31">
        <f>981.11089+0.818448</f>
        <v>981.929338</v>
      </c>
      <c r="E7" s="32">
        <v>65.2555</v>
      </c>
      <c r="F7" s="31">
        <v>8.252</v>
      </c>
      <c r="G7" s="32">
        <v>261.41853</v>
      </c>
      <c r="H7" s="32"/>
      <c r="I7" s="32"/>
      <c r="J7" s="33">
        <v>218.70413</v>
      </c>
      <c r="K7" s="34">
        <f>3.20024+0.0664775</f>
        <v>3.2667175</v>
      </c>
      <c r="L7" s="31">
        <f>18.797185</f>
        <v>18.797185</v>
      </c>
      <c r="M7" s="31">
        <v>0</v>
      </c>
      <c r="N7" s="35">
        <f>84.025385+22.21246+6.0157+106.642454</f>
        <v>218.895999</v>
      </c>
      <c r="O7" s="34">
        <f>142.483805+66.03425</f>
        <v>208.518055</v>
      </c>
      <c r="P7" s="31">
        <f>6.4517317</f>
        <v>6.4517317</v>
      </c>
      <c r="Q7" s="32"/>
      <c r="R7" s="32">
        <v>353.321535</v>
      </c>
      <c r="S7" s="31">
        <v>9.46756</v>
      </c>
      <c r="T7" s="31">
        <v>19.555658</v>
      </c>
      <c r="U7" s="32"/>
      <c r="V7" s="36"/>
      <c r="W7" s="37"/>
      <c r="X7" s="38"/>
      <c r="Y7" s="19">
        <f>SUM(B7:X7)</f>
        <v>2957.6631022</v>
      </c>
    </row>
    <row r="8" spans="1:25" s="20" customFormat="1" ht="19.5" customHeight="1">
      <c r="A8" s="18" t="s">
        <v>0</v>
      </c>
      <c r="B8" s="32"/>
      <c r="C8" s="31">
        <v>599.42074</v>
      </c>
      <c r="D8" s="31">
        <v>368.084516</v>
      </c>
      <c r="E8" s="31">
        <v>35.807199999999995</v>
      </c>
      <c r="F8" s="39"/>
      <c r="G8" s="39"/>
      <c r="H8" s="40"/>
      <c r="I8" s="40"/>
      <c r="J8" s="33">
        <v>10.45768</v>
      </c>
      <c r="K8" s="41"/>
      <c r="L8" s="39"/>
      <c r="M8" s="39"/>
      <c r="N8" s="42"/>
      <c r="O8" s="31">
        <v>60.75302000000001</v>
      </c>
      <c r="P8" s="39"/>
      <c r="Q8" s="31"/>
      <c r="R8" s="31">
        <v>95.69061</v>
      </c>
      <c r="S8" s="31">
        <v>6.16098</v>
      </c>
      <c r="T8" s="31">
        <v>25.760099999999998</v>
      </c>
      <c r="U8" s="39"/>
      <c r="V8" s="42"/>
      <c r="W8" s="31">
        <v>10.9</v>
      </c>
      <c r="X8" s="31">
        <v>0.558</v>
      </c>
      <c r="Y8" s="19">
        <f>SUM(B8:X8)</f>
        <v>1213.5928460000002</v>
      </c>
    </row>
    <row r="9" spans="1:25" s="20" customFormat="1" ht="19.5" customHeight="1" thickBot="1">
      <c r="A9" s="21" t="s">
        <v>26</v>
      </c>
      <c r="B9" s="32"/>
      <c r="C9" s="31"/>
      <c r="D9" s="31">
        <v>317.2234</v>
      </c>
      <c r="E9" s="31">
        <v>93.2436</v>
      </c>
      <c r="F9" s="39"/>
      <c r="G9" s="32"/>
      <c r="H9" s="38"/>
      <c r="I9" s="38"/>
      <c r="J9" s="33">
        <v>16.9477</v>
      </c>
      <c r="K9" s="44">
        <v>80.9635</v>
      </c>
      <c r="L9" s="32"/>
      <c r="M9" s="32"/>
      <c r="N9" s="36"/>
      <c r="O9" s="31"/>
      <c r="P9" s="32"/>
      <c r="Q9" s="31"/>
      <c r="R9" s="31"/>
      <c r="S9" s="31"/>
      <c r="T9" s="31"/>
      <c r="U9" s="32">
        <v>95.7336</v>
      </c>
      <c r="V9" s="36">
        <v>13.0413</v>
      </c>
      <c r="W9" s="31"/>
      <c r="X9" s="31"/>
      <c r="Y9" s="19">
        <f>SUM(B9:X9)</f>
        <v>617.1531</v>
      </c>
    </row>
    <row r="10" spans="1:25" s="24" customFormat="1" ht="19.5" customHeight="1" thickBot="1">
      <c r="A10" s="22" t="s">
        <v>27</v>
      </c>
      <c r="B10" s="45">
        <f>SUM(B7:B9)-0.056</f>
        <v>246.816133</v>
      </c>
      <c r="C10" s="46">
        <f aca="true" t="shared" si="0" ref="C10:R10">SUM(C7:C9)</f>
        <v>936.37777</v>
      </c>
      <c r="D10" s="46">
        <f t="shared" si="0"/>
        <v>1667.2372540000001</v>
      </c>
      <c r="E10" s="46">
        <f t="shared" si="0"/>
        <v>194.3063</v>
      </c>
      <c r="F10" s="46">
        <f t="shared" si="0"/>
        <v>8.252</v>
      </c>
      <c r="G10" s="46">
        <f t="shared" si="0"/>
        <v>261.41853</v>
      </c>
      <c r="H10" s="46">
        <f t="shared" si="0"/>
        <v>0</v>
      </c>
      <c r="I10" s="46">
        <f t="shared" si="0"/>
        <v>0</v>
      </c>
      <c r="J10" s="47">
        <f t="shared" si="0"/>
        <v>246.10951</v>
      </c>
      <c r="K10" s="48">
        <f t="shared" si="0"/>
        <v>84.2302175</v>
      </c>
      <c r="L10" s="46">
        <f t="shared" si="0"/>
        <v>18.797185</v>
      </c>
      <c r="M10" s="46">
        <f t="shared" si="0"/>
        <v>0</v>
      </c>
      <c r="N10" s="49">
        <f t="shared" si="0"/>
        <v>218.895999</v>
      </c>
      <c r="O10" s="48">
        <f t="shared" si="0"/>
        <v>269.271075</v>
      </c>
      <c r="P10" s="46">
        <f t="shared" si="0"/>
        <v>6.4517317</v>
      </c>
      <c r="Q10" s="46">
        <f t="shared" si="0"/>
        <v>0</v>
      </c>
      <c r="R10" s="46">
        <f t="shared" si="0"/>
        <v>449.012145</v>
      </c>
      <c r="S10" s="46">
        <f>SUM(S7:S9)</f>
        <v>15.628540000000001</v>
      </c>
      <c r="T10" s="46">
        <f>SUM(T7:T9)</f>
        <v>45.315758</v>
      </c>
      <c r="U10" s="46">
        <f>SUM(U7:U9)</f>
        <v>95.7336</v>
      </c>
      <c r="V10" s="49">
        <f>SUM(V7:V9)</f>
        <v>13.0413</v>
      </c>
      <c r="W10" s="54">
        <f>11.9-10.9-1</f>
        <v>0</v>
      </c>
      <c r="X10" s="46">
        <f>SUM(X7:X9)-0.1605</f>
        <v>0.3975000000000001</v>
      </c>
      <c r="Y10" s="23">
        <f>SUM(B10:X10)</f>
        <v>4777.292548199998</v>
      </c>
    </row>
    <row r="11" spans="1:25" s="24" customFormat="1" ht="19.5" customHeight="1" thickBot="1">
      <c r="A11" s="25" t="s">
        <v>28</v>
      </c>
      <c r="B11" s="648">
        <f>SUM(B10:I10)</f>
        <v>3314.407987</v>
      </c>
      <c r="C11" s="649"/>
      <c r="D11" s="649"/>
      <c r="E11" s="649"/>
      <c r="F11" s="649"/>
      <c r="G11" s="649"/>
      <c r="H11" s="649"/>
      <c r="I11" s="650"/>
      <c r="J11" s="50">
        <f>SUM(J10)</f>
        <v>246.10951</v>
      </c>
      <c r="K11" s="648">
        <f>SUM(K10:N10)</f>
        <v>321.92340149999995</v>
      </c>
      <c r="L11" s="649"/>
      <c r="M11" s="649"/>
      <c r="N11" s="649"/>
      <c r="O11" s="648">
        <f>SUM(O10:V10)</f>
        <v>894.4541497</v>
      </c>
      <c r="P11" s="649"/>
      <c r="Q11" s="649"/>
      <c r="R11" s="649"/>
      <c r="S11" s="649"/>
      <c r="T11" s="649"/>
      <c r="U11" s="649"/>
      <c r="V11" s="650"/>
      <c r="W11" s="648">
        <f>SUM(W10:X10)</f>
        <v>0.3975000000000001</v>
      </c>
      <c r="X11" s="650"/>
      <c r="Y11" s="26">
        <f>SUM(B11:X11)</f>
        <v>4777.2925482</v>
      </c>
    </row>
    <row r="12" spans="5:25" ht="11.25">
      <c r="E12" s="51"/>
      <c r="J12" s="52"/>
      <c r="L12" s="51"/>
      <c r="R12" s="51"/>
      <c r="Y12" s="53"/>
    </row>
    <row r="13" spans="1:27" ht="35.25" customHeight="1">
      <c r="A13" s="652" t="s">
        <v>44</v>
      </c>
      <c r="B13" s="652"/>
      <c r="C13" s="652"/>
      <c r="D13" s="652"/>
      <c r="E13" s="652"/>
      <c r="W13" s="652"/>
      <c r="X13" s="652"/>
      <c r="Y13" s="652"/>
      <c r="Z13" s="652"/>
      <c r="AA13" s="652"/>
    </row>
    <row r="14" ht="18" customHeight="1">
      <c r="A14" s="58" t="s">
        <v>47</v>
      </c>
    </row>
    <row r="15" spans="1:2" ht="18" customHeight="1">
      <c r="A15" s="58" t="s">
        <v>48</v>
      </c>
      <c r="B15" s="58"/>
    </row>
    <row r="16" spans="1:2" ht="18" customHeight="1">
      <c r="A16" s="58" t="s">
        <v>51</v>
      </c>
      <c r="B16" s="58"/>
    </row>
    <row r="17" ht="15">
      <c r="A17" s="4" t="s">
        <v>43</v>
      </c>
    </row>
    <row r="18" ht="12" thickBot="1"/>
    <row r="19" spans="1:25" s="7" customFormat="1" ht="21.75" customHeight="1" thickBot="1">
      <c r="A19" s="6"/>
      <c r="B19" s="639" t="s">
        <v>1</v>
      </c>
      <c r="C19" s="640"/>
      <c r="D19" s="640"/>
      <c r="E19" s="640"/>
      <c r="F19" s="640"/>
      <c r="G19" s="640"/>
      <c r="H19" s="640"/>
      <c r="I19" s="640"/>
      <c r="J19" s="6" t="s">
        <v>2</v>
      </c>
      <c r="K19" s="641" t="s">
        <v>3</v>
      </c>
      <c r="L19" s="642"/>
      <c r="M19" s="642"/>
      <c r="N19" s="643"/>
      <c r="O19" s="644" t="s">
        <v>4</v>
      </c>
      <c r="P19" s="640"/>
      <c r="Q19" s="640"/>
      <c r="R19" s="640"/>
      <c r="S19" s="640"/>
      <c r="T19" s="640"/>
      <c r="U19" s="640"/>
      <c r="V19" s="645"/>
      <c r="W19" s="646" t="s">
        <v>5</v>
      </c>
      <c r="X19" s="647"/>
      <c r="Y19" s="637" t="s">
        <v>6</v>
      </c>
    </row>
    <row r="20" spans="1:25" s="17" customFormat="1" ht="51" customHeight="1">
      <c r="A20" s="8"/>
      <c r="B20" s="9" t="s">
        <v>7</v>
      </c>
      <c r="C20" s="10" t="s">
        <v>8</v>
      </c>
      <c r="D20" s="10" t="s">
        <v>9</v>
      </c>
      <c r="E20" s="10" t="s">
        <v>10</v>
      </c>
      <c r="F20" s="10" t="s">
        <v>11</v>
      </c>
      <c r="G20" s="10" t="s">
        <v>33</v>
      </c>
      <c r="H20" s="10" t="s">
        <v>35</v>
      </c>
      <c r="I20" s="10" t="s">
        <v>12</v>
      </c>
      <c r="J20" s="11"/>
      <c r="K20" s="12" t="s">
        <v>13</v>
      </c>
      <c r="L20" s="10" t="s">
        <v>14</v>
      </c>
      <c r="M20" s="10" t="s">
        <v>34</v>
      </c>
      <c r="N20" s="13" t="s">
        <v>15</v>
      </c>
      <c r="O20" s="12" t="s">
        <v>16</v>
      </c>
      <c r="P20" s="9" t="s">
        <v>17</v>
      </c>
      <c r="Q20" s="10" t="s">
        <v>18</v>
      </c>
      <c r="R20" s="10" t="s">
        <v>19</v>
      </c>
      <c r="S20" s="10" t="s">
        <v>20</v>
      </c>
      <c r="T20" s="10" t="s">
        <v>21</v>
      </c>
      <c r="U20" s="14" t="s">
        <v>22</v>
      </c>
      <c r="V20" s="14" t="s">
        <v>23</v>
      </c>
      <c r="W20" s="15" t="s">
        <v>29</v>
      </c>
      <c r="X20" s="16" t="s">
        <v>31</v>
      </c>
      <c r="Y20" s="638"/>
    </row>
    <row r="21" spans="1:25" s="20" customFormat="1" ht="18.75" customHeight="1">
      <c r="A21" s="18" t="s">
        <v>25</v>
      </c>
      <c r="B21" s="30">
        <f>351.0996+0.6652</f>
        <v>351.76480000000004</v>
      </c>
      <c r="C21" s="31">
        <f>511.7992</f>
        <v>511.7992</v>
      </c>
      <c r="D21" s="31">
        <f>1007.6925+1.416768</f>
        <v>1009.109268</v>
      </c>
      <c r="E21" s="32">
        <v>41.791</v>
      </c>
      <c r="F21" s="31">
        <v>133.0401</v>
      </c>
      <c r="G21" s="32"/>
      <c r="H21" s="32"/>
      <c r="I21" s="32"/>
      <c r="J21" s="33">
        <f>278.842643</f>
        <v>278.842643</v>
      </c>
      <c r="K21" s="34">
        <f>4.7882+0.067523</f>
        <v>4.855722999999999</v>
      </c>
      <c r="L21" s="31">
        <f>30.37517</f>
        <v>30.37517</v>
      </c>
      <c r="M21" s="31" t="s">
        <v>39</v>
      </c>
      <c r="N21" s="35">
        <f>93.00001+21.411085+5.15844+83.026187</f>
        <v>202.595722</v>
      </c>
      <c r="O21" s="34">
        <f>133.544185+10.20989+0.822</f>
        <v>144.576075</v>
      </c>
      <c r="P21" s="31">
        <v>6.7906831</v>
      </c>
      <c r="Q21" s="32"/>
      <c r="R21" s="32">
        <f>345.14023</f>
        <v>345.14023</v>
      </c>
      <c r="S21" s="31">
        <v>9.832032</v>
      </c>
      <c r="T21" s="31">
        <v>23.345153</v>
      </c>
      <c r="U21" s="32"/>
      <c r="V21" s="36"/>
      <c r="W21" s="27"/>
      <c r="X21" s="28"/>
      <c r="Y21" s="19">
        <f>SUM(B21:X21)</f>
        <v>3093.8577990999997</v>
      </c>
    </row>
    <row r="22" spans="1:25" s="20" customFormat="1" ht="18.75" customHeight="1">
      <c r="A22" s="18" t="s">
        <v>0</v>
      </c>
      <c r="B22" s="32"/>
      <c r="C22" s="31">
        <v>613.1</v>
      </c>
      <c r="D22" s="31">
        <v>578.1</v>
      </c>
      <c r="E22" s="31">
        <v>106.1</v>
      </c>
      <c r="F22" s="39"/>
      <c r="G22" s="39"/>
      <c r="H22" s="40"/>
      <c r="I22" s="40"/>
      <c r="J22" s="33">
        <v>21.596</v>
      </c>
      <c r="K22" s="41"/>
      <c r="L22" s="39"/>
      <c r="M22" s="39"/>
      <c r="N22" s="42"/>
      <c r="O22" s="31">
        <v>49.727</v>
      </c>
      <c r="P22" s="39"/>
      <c r="Q22" s="31"/>
      <c r="R22" s="31">
        <v>157.611</v>
      </c>
      <c r="S22" s="31">
        <v>4.774</v>
      </c>
      <c r="T22" s="31">
        <v>33.849</v>
      </c>
      <c r="U22" s="39"/>
      <c r="V22" s="42"/>
      <c r="W22" s="31">
        <v>11.9</v>
      </c>
      <c r="X22" s="36">
        <v>0.4188</v>
      </c>
      <c r="Y22" s="19">
        <f>SUM(B22:X22)</f>
        <v>1577.1757999999998</v>
      </c>
    </row>
    <row r="23" spans="1:25" s="20" customFormat="1" ht="18.75" customHeight="1" thickBot="1">
      <c r="A23" s="21" t="s">
        <v>26</v>
      </c>
      <c r="B23" s="32"/>
      <c r="C23" s="31"/>
      <c r="D23" s="31">
        <v>615.3294</v>
      </c>
      <c r="E23" s="31">
        <v>149.1857</v>
      </c>
      <c r="F23" s="39"/>
      <c r="G23" s="32"/>
      <c r="H23" s="38"/>
      <c r="I23" s="38"/>
      <c r="J23" s="33">
        <v>18.93</v>
      </c>
      <c r="K23" s="44">
        <v>127.8609</v>
      </c>
      <c r="L23" s="32"/>
      <c r="M23" s="32"/>
      <c r="N23" s="36"/>
      <c r="O23" s="31"/>
      <c r="P23" s="32"/>
      <c r="Q23" s="31"/>
      <c r="R23" s="31"/>
      <c r="S23" s="31"/>
      <c r="T23" s="31"/>
      <c r="U23" s="32">
        <v>155.5942</v>
      </c>
      <c r="V23" s="36">
        <v>0</v>
      </c>
      <c r="W23" s="27"/>
      <c r="X23" s="28"/>
      <c r="Y23" s="19">
        <f>SUM(B23:X23)</f>
        <v>1066.9002</v>
      </c>
    </row>
    <row r="24" spans="1:25" s="24" customFormat="1" ht="18.75" customHeight="1" thickBot="1">
      <c r="A24" s="22" t="s">
        <v>27</v>
      </c>
      <c r="B24" s="45">
        <f>SUM(B21:B23)-0.064</f>
        <v>351.7008</v>
      </c>
      <c r="C24" s="46">
        <f aca="true" t="shared" si="1" ref="C24:R24">SUM(C21:C23)</f>
        <v>1124.8992</v>
      </c>
      <c r="D24" s="46">
        <f t="shared" si="1"/>
        <v>2202.538668</v>
      </c>
      <c r="E24" s="46">
        <f t="shared" si="1"/>
        <v>297.07669999999996</v>
      </c>
      <c r="F24" s="46">
        <f t="shared" si="1"/>
        <v>133.0401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7">
        <f>SUM(J21:J23)-5.99473</f>
        <v>313.373913</v>
      </c>
      <c r="K24" s="48">
        <f t="shared" si="1"/>
        <v>132.716623</v>
      </c>
      <c r="L24" s="46">
        <f t="shared" si="1"/>
        <v>30.37517</v>
      </c>
      <c r="M24" s="46">
        <f t="shared" si="1"/>
        <v>0</v>
      </c>
      <c r="N24" s="49">
        <f t="shared" si="1"/>
        <v>202.595722</v>
      </c>
      <c r="O24" s="48">
        <f t="shared" si="1"/>
        <v>194.303075</v>
      </c>
      <c r="P24" s="46">
        <f t="shared" si="1"/>
        <v>6.7906831</v>
      </c>
      <c r="Q24" s="46">
        <f t="shared" si="1"/>
        <v>0</v>
      </c>
      <c r="R24" s="46">
        <f t="shared" si="1"/>
        <v>502.75122999999996</v>
      </c>
      <c r="S24" s="46">
        <f>SUM(S21:S23)</f>
        <v>14.606031999999999</v>
      </c>
      <c r="T24" s="46">
        <f>SUM(T21:T23)</f>
        <v>57.194153</v>
      </c>
      <c r="U24" s="46">
        <f>SUM(U21:U23)</f>
        <v>155.5942</v>
      </c>
      <c r="V24" s="49">
        <f>SUM(V21:V23)</f>
        <v>0</v>
      </c>
      <c r="W24" s="54">
        <f>11.9-10.9-1</f>
        <v>0</v>
      </c>
      <c r="X24" s="54">
        <f>SUM(X21:X23)-0.0946</f>
        <v>0.3242</v>
      </c>
      <c r="Y24" s="23">
        <f>SUM(B24:X24)</f>
        <v>5719.880469100001</v>
      </c>
    </row>
    <row r="25" spans="1:25" s="24" customFormat="1" ht="18.75" customHeight="1" thickBot="1">
      <c r="A25" s="25" t="s">
        <v>28</v>
      </c>
      <c r="B25" s="648">
        <f>SUM(B24:I24)</f>
        <v>4109.255468</v>
      </c>
      <c r="C25" s="649"/>
      <c r="D25" s="649"/>
      <c r="E25" s="649"/>
      <c r="F25" s="649"/>
      <c r="G25" s="649"/>
      <c r="H25" s="649"/>
      <c r="I25" s="650"/>
      <c r="J25" s="50">
        <f>SUM(J24)</f>
        <v>313.373913</v>
      </c>
      <c r="K25" s="648">
        <f>SUM(K24:N24)</f>
        <v>365.68751499999996</v>
      </c>
      <c r="L25" s="649"/>
      <c r="M25" s="649"/>
      <c r="N25" s="649"/>
      <c r="O25" s="648">
        <f>SUM(O24:V24)</f>
        <v>931.2393731</v>
      </c>
      <c r="P25" s="649"/>
      <c r="Q25" s="649"/>
      <c r="R25" s="649"/>
      <c r="S25" s="649"/>
      <c r="T25" s="649"/>
      <c r="U25" s="649"/>
      <c r="V25" s="650"/>
      <c r="W25" s="648">
        <f>SUM(W24:X24)</f>
        <v>0.3242</v>
      </c>
      <c r="X25" s="650"/>
      <c r="Y25" s="26">
        <f>SUM(B25:X25)</f>
        <v>5719.8804691000005</v>
      </c>
    </row>
    <row r="26" ht="11.25">
      <c r="Y26" s="53"/>
    </row>
    <row r="28" spans="1:27" ht="42" customHeight="1">
      <c r="A28" s="652" t="s">
        <v>44</v>
      </c>
      <c r="B28" s="652"/>
      <c r="C28" s="652"/>
      <c r="D28" s="652"/>
      <c r="E28" s="652"/>
      <c r="W28" s="652"/>
      <c r="X28" s="652"/>
      <c r="Y28" s="652"/>
      <c r="Z28" s="652"/>
      <c r="AA28" s="652"/>
    </row>
    <row r="29" ht="18" customHeight="1">
      <c r="A29" s="58" t="s">
        <v>45</v>
      </c>
    </row>
    <row r="30" spans="1:2" ht="12.75">
      <c r="A30" s="58" t="s">
        <v>46</v>
      </c>
      <c r="B30" s="58"/>
    </row>
    <row r="31" ht="12.75">
      <c r="A31" s="58" t="s">
        <v>49</v>
      </c>
    </row>
    <row r="32" ht="12.75">
      <c r="A32" s="58" t="s">
        <v>50</v>
      </c>
    </row>
  </sheetData>
  <sheetProtection/>
  <mergeCells count="22">
    <mergeCell ref="O5:V5"/>
    <mergeCell ref="W5:X5"/>
    <mergeCell ref="B11:I11"/>
    <mergeCell ref="K11:N11"/>
    <mergeCell ref="O11:V11"/>
    <mergeCell ref="W11:X11"/>
    <mergeCell ref="Y5:Y6"/>
    <mergeCell ref="W13:AA13"/>
    <mergeCell ref="W28:AA28"/>
    <mergeCell ref="A13:E13"/>
    <mergeCell ref="A28:E28"/>
    <mergeCell ref="Y19:Y20"/>
    <mergeCell ref="B25:I25"/>
    <mergeCell ref="K25:N25"/>
    <mergeCell ref="B5:I5"/>
    <mergeCell ref="K5:N5"/>
    <mergeCell ref="O25:V25"/>
    <mergeCell ref="W25:X25"/>
    <mergeCell ref="B19:I19"/>
    <mergeCell ref="K19:N19"/>
    <mergeCell ref="O19:V19"/>
    <mergeCell ref="W19:X19"/>
  </mergeCells>
  <printOptions/>
  <pageMargins left="0.47" right="0.24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273"/>
  <sheetViews>
    <sheetView showGridLines="0" tabSelected="1" zoomScale="70" zoomScaleNormal="70" zoomScalePageLayoutView="0" workbookViewId="0" topLeftCell="A1">
      <pane xSplit="2" topLeftCell="S1" activePane="topRight" state="frozen"/>
      <selection pane="topLeft" activeCell="A1" sqref="A1"/>
      <selection pane="topRight" activeCell="A1" sqref="A1"/>
    </sheetView>
  </sheetViews>
  <sheetFormatPr defaultColWidth="9.00390625" defaultRowHeight="12.75" outlineLevelRow="1" outlineLevelCol="1"/>
  <cols>
    <col min="1" max="1" width="47.75390625" style="64" customWidth="1"/>
    <col min="2" max="2" width="45.00390625" style="64" customWidth="1"/>
    <col min="3" max="7" width="13.125" style="64" hidden="1" customWidth="1" outlineLevel="1"/>
    <col min="8" max="8" width="14.00390625" style="64" hidden="1" customWidth="1" outlineLevel="1"/>
    <col min="9" max="15" width="13.875" style="64" hidden="1" customWidth="1" outlineLevel="1"/>
    <col min="16" max="18" width="14.625" style="64" hidden="1" customWidth="1" outlineLevel="1"/>
    <col min="19" max="19" width="14.625" style="64" customWidth="1" collapsed="1"/>
    <col min="20" max="21" width="14.625" style="64" customWidth="1"/>
    <col min="22" max="22" width="16.875" style="64" customWidth="1"/>
    <col min="23" max="23" width="5.625" style="64" customWidth="1"/>
    <col min="24" max="27" width="12.375" style="64" hidden="1" customWidth="1" outlineLevel="1"/>
    <col min="28" max="28" width="14.125" style="64" hidden="1" customWidth="1" outlineLevel="1"/>
    <col min="29" max="29" width="14.125" style="64" hidden="1" customWidth="1" outlineLevel="1" collapsed="1"/>
    <col min="30" max="35" width="14.125" style="64" hidden="1" customWidth="1" outlineLevel="1"/>
    <col min="36" max="36" width="14.125" style="64" hidden="1" customWidth="1" outlineLevel="1" collapsed="1"/>
    <col min="37" max="39" width="14.125" style="64" hidden="1" customWidth="1" outlineLevel="1"/>
    <col min="40" max="40" width="14.125" style="64" customWidth="1" collapsed="1"/>
    <col min="41" max="42" width="14.125" style="64" customWidth="1"/>
    <col min="43" max="43" width="17.375" style="95" customWidth="1"/>
    <col min="44" max="44" width="5.75390625" style="64" customWidth="1"/>
    <col min="45" max="49" width="13.875" style="64" hidden="1" customWidth="1" outlineLevel="1"/>
    <col min="50" max="50" width="13.875" style="64" hidden="1" customWidth="1" outlineLevel="1" collapsed="1"/>
    <col min="51" max="53" width="13.875" style="64" hidden="1" customWidth="1" outlineLevel="1"/>
    <col min="54" max="54" width="13.875" style="64" customWidth="1" collapsed="1"/>
    <col min="55" max="56" width="13.875" style="64" customWidth="1"/>
    <col min="57" max="57" width="17.625" style="64" bestFit="1" customWidth="1"/>
    <col min="58" max="16384" width="9.125" style="64" customWidth="1"/>
  </cols>
  <sheetData>
    <row r="1" spans="1:184" ht="18">
      <c r="A1" s="94" t="s">
        <v>298</v>
      </c>
      <c r="B1" s="94" t="s">
        <v>297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</row>
    <row r="2" spans="1:2" ht="18">
      <c r="A2" s="94"/>
      <c r="B2" s="94"/>
    </row>
    <row r="3" spans="1:22" ht="15.75">
      <c r="A3" s="654" t="s">
        <v>219</v>
      </c>
      <c r="B3" s="654" t="s">
        <v>255</v>
      </c>
      <c r="C3" s="655" t="s">
        <v>300</v>
      </c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</row>
    <row r="4" spans="1:22" ht="15.75">
      <c r="A4" s="654"/>
      <c r="B4" s="654"/>
      <c r="C4" s="655" t="s">
        <v>299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</row>
    <row r="5" spans="1:22" ht="15.75">
      <c r="A5" s="96" t="s">
        <v>55</v>
      </c>
      <c r="B5" s="96" t="s">
        <v>53</v>
      </c>
      <c r="R5" s="282"/>
      <c r="S5" s="282"/>
      <c r="T5" s="282">
        <v>2022</v>
      </c>
      <c r="U5" s="282">
        <v>2023</v>
      </c>
      <c r="V5" s="282" t="s">
        <v>102</v>
      </c>
    </row>
    <row r="6" spans="1:22" ht="15.75">
      <c r="A6" s="96"/>
      <c r="B6" s="143"/>
      <c r="R6" s="143"/>
      <c r="S6" s="143"/>
      <c r="T6" s="143"/>
      <c r="U6" s="143"/>
      <c r="V6" s="282" t="s">
        <v>101</v>
      </c>
    </row>
    <row r="7" spans="1:22" ht="15">
      <c r="A7" s="116" t="s">
        <v>58</v>
      </c>
      <c r="B7" s="116" t="s">
        <v>2</v>
      </c>
      <c r="R7" s="252"/>
      <c r="S7" s="252"/>
      <c r="T7" s="252">
        <f>T69</f>
        <v>2816.3559999999998</v>
      </c>
      <c r="U7" s="252">
        <f>U69</f>
        <v>2952.231</v>
      </c>
      <c r="V7" s="428">
        <f aca="true" t="shared" si="0" ref="V7:V12">U7/T7-1</f>
        <v>0.0482449661903539</v>
      </c>
    </row>
    <row r="8" spans="1:22" ht="30">
      <c r="A8" s="116" t="s">
        <v>304</v>
      </c>
      <c r="B8" s="116" t="s">
        <v>301</v>
      </c>
      <c r="R8" s="252"/>
      <c r="S8" s="252"/>
      <c r="T8" s="252">
        <f>T9+T73+T101</f>
        <v>3058.832</v>
      </c>
      <c r="U8" s="252">
        <f>U9+U73+U101</f>
        <v>2932.299553</v>
      </c>
      <c r="V8" s="428">
        <f t="shared" si="0"/>
        <v>-0.04136626235111962</v>
      </c>
    </row>
    <row r="9" spans="1:22" ht="30">
      <c r="A9" s="566" t="s">
        <v>303</v>
      </c>
      <c r="B9" s="566" t="s">
        <v>302</v>
      </c>
      <c r="R9" s="568"/>
      <c r="S9" s="568"/>
      <c r="T9" s="568">
        <v>368.3640000000001</v>
      </c>
      <c r="U9" s="252">
        <v>367.908</v>
      </c>
      <c r="V9" s="428">
        <f t="shared" si="0"/>
        <v>-0.0012379059842982931</v>
      </c>
    </row>
    <row r="10" spans="1:22" ht="30">
      <c r="A10" s="116" t="s">
        <v>306</v>
      </c>
      <c r="B10" s="116" t="s">
        <v>305</v>
      </c>
      <c r="R10" s="252"/>
      <c r="S10" s="252"/>
      <c r="T10" s="252">
        <f>T75+T102</f>
        <v>1906.065</v>
      </c>
      <c r="U10" s="252">
        <f>U75+U102</f>
        <v>2003.6239999999998</v>
      </c>
      <c r="V10" s="428">
        <f t="shared" si="0"/>
        <v>0.05118345911603206</v>
      </c>
    </row>
    <row r="11" spans="1:22" ht="15">
      <c r="A11" s="116" t="s">
        <v>106</v>
      </c>
      <c r="B11" s="116" t="s">
        <v>150</v>
      </c>
      <c r="R11" s="252"/>
      <c r="S11" s="252"/>
      <c r="T11" s="252">
        <f>T85</f>
        <v>2225.896</v>
      </c>
      <c r="U11" s="252">
        <f>U85</f>
        <v>2367.772</v>
      </c>
      <c r="V11" s="428">
        <f t="shared" si="0"/>
        <v>0.0637388269712511</v>
      </c>
    </row>
    <row r="12" spans="1:22" ht="15">
      <c r="A12" s="116" t="s">
        <v>154</v>
      </c>
      <c r="B12" s="116" t="s">
        <v>155</v>
      </c>
      <c r="R12" s="252"/>
      <c r="S12" s="252"/>
      <c r="T12" s="252">
        <f>T111</f>
        <v>1170.38</v>
      </c>
      <c r="U12" s="252">
        <f>U111</f>
        <v>1164.179</v>
      </c>
      <c r="V12" s="428">
        <f t="shared" si="0"/>
        <v>-0.0052982791913737115</v>
      </c>
    </row>
    <row r="13" spans="1:2" ht="18">
      <c r="A13" s="94"/>
      <c r="B13" s="94"/>
    </row>
    <row r="14" spans="1:2" ht="18">
      <c r="A14" s="94" t="s">
        <v>183</v>
      </c>
      <c r="B14" s="94" t="s">
        <v>187</v>
      </c>
    </row>
    <row r="15" spans="1:2" ht="18">
      <c r="A15" s="94"/>
      <c r="B15" s="94"/>
    </row>
    <row r="16" spans="1:57" ht="15.75" hidden="1" outlineLevel="1">
      <c r="A16" s="654" t="s">
        <v>228</v>
      </c>
      <c r="B16" s="654" t="s">
        <v>227</v>
      </c>
      <c r="C16" s="655" t="s">
        <v>52</v>
      </c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210"/>
      <c r="X16" s="656" t="s">
        <v>171</v>
      </c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S16" s="653" t="s">
        <v>191</v>
      </c>
      <c r="AT16" s="653"/>
      <c r="AU16" s="653"/>
      <c r="AV16" s="653"/>
      <c r="AW16" s="653"/>
      <c r="AX16" s="653"/>
      <c r="AY16" s="653"/>
      <c r="AZ16" s="653"/>
      <c r="BA16" s="653"/>
      <c r="BB16" s="653"/>
      <c r="BC16" s="653"/>
      <c r="BD16" s="653"/>
      <c r="BE16" s="653"/>
    </row>
    <row r="17" spans="1:57" ht="15.75" hidden="1" outlineLevel="1">
      <c r="A17" s="654"/>
      <c r="B17" s="654"/>
      <c r="C17" s="655" t="s">
        <v>54</v>
      </c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  <c r="S17" s="655"/>
      <c r="T17" s="655"/>
      <c r="U17" s="655"/>
      <c r="V17" s="655"/>
      <c r="W17" s="210"/>
      <c r="X17" s="656" t="s">
        <v>172</v>
      </c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S17" s="653" t="s">
        <v>168</v>
      </c>
      <c r="AT17" s="653"/>
      <c r="AU17" s="653"/>
      <c r="AV17" s="653"/>
      <c r="AW17" s="653"/>
      <c r="AX17" s="653"/>
      <c r="AY17" s="653"/>
      <c r="AZ17" s="653"/>
      <c r="BA17" s="653"/>
      <c r="BB17" s="653"/>
      <c r="BC17" s="653"/>
      <c r="BD17" s="653"/>
      <c r="BE17" s="653"/>
    </row>
    <row r="18" spans="1:57" s="68" customFormat="1" ht="15.75" hidden="1" outlineLevel="1">
      <c r="A18" s="96" t="s">
        <v>55</v>
      </c>
      <c r="B18" s="96" t="s">
        <v>53</v>
      </c>
      <c r="C18" s="282">
        <v>2005</v>
      </c>
      <c r="D18" s="282">
        <v>2006</v>
      </c>
      <c r="E18" s="282">
        <v>2007</v>
      </c>
      <c r="F18" s="282">
        <v>2008</v>
      </c>
      <c r="G18" s="282">
        <v>2009</v>
      </c>
      <c r="H18" s="282">
        <v>2010</v>
      </c>
      <c r="I18" s="282">
        <v>2011</v>
      </c>
      <c r="J18" s="282">
        <v>2012</v>
      </c>
      <c r="K18" s="282">
        <v>2013</v>
      </c>
      <c r="L18" s="282">
        <v>2014</v>
      </c>
      <c r="M18" s="282">
        <v>2015</v>
      </c>
      <c r="N18" s="282">
        <v>2016</v>
      </c>
      <c r="O18" s="282"/>
      <c r="P18" s="282"/>
      <c r="Q18" s="282"/>
      <c r="R18" s="282"/>
      <c r="S18" s="282"/>
      <c r="T18" s="282"/>
      <c r="U18" s="282"/>
      <c r="V18" s="282" t="s">
        <v>102</v>
      </c>
      <c r="W18" s="300"/>
      <c r="X18" s="283">
        <v>2005</v>
      </c>
      <c r="Y18" s="283">
        <v>2006</v>
      </c>
      <c r="Z18" s="283">
        <v>2007</v>
      </c>
      <c r="AA18" s="283">
        <v>2008</v>
      </c>
      <c r="AB18" s="283">
        <v>2009</v>
      </c>
      <c r="AC18" s="283">
        <v>2010</v>
      </c>
      <c r="AD18" s="283">
        <v>2011</v>
      </c>
      <c r="AE18" s="283">
        <v>2012</v>
      </c>
      <c r="AF18" s="283">
        <v>2013</v>
      </c>
      <c r="AG18" s="380">
        <v>2014</v>
      </c>
      <c r="AH18" s="393">
        <v>2015</v>
      </c>
      <c r="AI18" s="424">
        <v>2016</v>
      </c>
      <c r="AJ18" s="495"/>
      <c r="AK18" s="514"/>
      <c r="AL18" s="554"/>
      <c r="AM18" s="563"/>
      <c r="AN18" s="608"/>
      <c r="AO18" s="617"/>
      <c r="AP18" s="620"/>
      <c r="AQ18" s="283" t="s">
        <v>102</v>
      </c>
      <c r="AS18" s="281">
        <v>2012</v>
      </c>
      <c r="AT18" s="281">
        <v>2013</v>
      </c>
      <c r="AU18" s="381">
        <v>2014</v>
      </c>
      <c r="AV18" s="392">
        <v>2015</v>
      </c>
      <c r="AW18" s="423">
        <v>2016</v>
      </c>
      <c r="AX18" s="496"/>
      <c r="AY18" s="516"/>
      <c r="AZ18" s="555"/>
      <c r="BA18" s="564"/>
      <c r="BB18" s="610"/>
      <c r="BC18" s="618"/>
      <c r="BD18" s="636"/>
      <c r="BE18" s="281" t="s">
        <v>102</v>
      </c>
    </row>
    <row r="19" spans="1:57" ht="15.75" hidden="1" outlineLevel="1">
      <c r="A19" s="96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282" t="s">
        <v>101</v>
      </c>
      <c r="W19" s="210"/>
      <c r="X19" s="211"/>
      <c r="Y19" s="211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386" t="s">
        <v>101</v>
      </c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384" t="s">
        <v>101</v>
      </c>
    </row>
    <row r="20" spans="1:57" ht="15.75" hidden="1" outlineLevel="1">
      <c r="A20" s="98" t="s">
        <v>58</v>
      </c>
      <c r="B20" s="98" t="s">
        <v>2</v>
      </c>
      <c r="C20" s="144">
        <f aca="true" t="shared" si="1" ref="C20:M20">C132+C180+C231</f>
        <v>1708.55417</v>
      </c>
      <c r="D20" s="144">
        <f t="shared" si="1"/>
        <v>1591.0334500000001</v>
      </c>
      <c r="E20" s="144">
        <f t="shared" si="1"/>
        <v>1689.8907</v>
      </c>
      <c r="F20" s="144">
        <f t="shared" si="1"/>
        <v>1494.1731</v>
      </c>
      <c r="G20" s="144">
        <f t="shared" si="1"/>
        <v>1682.063</v>
      </c>
      <c r="H20" s="144">
        <f t="shared" si="1"/>
        <v>1722.5</v>
      </c>
      <c r="I20" s="144">
        <f t="shared" si="1"/>
        <v>1769.8</v>
      </c>
      <c r="J20" s="144">
        <f t="shared" si="1"/>
        <v>1783.097</v>
      </c>
      <c r="K20" s="144">
        <f t="shared" si="1"/>
        <v>1916.514</v>
      </c>
      <c r="L20" s="144">
        <f t="shared" si="1"/>
        <v>1821.8000000000002</v>
      </c>
      <c r="M20" s="144">
        <f t="shared" si="1"/>
        <v>1765.001</v>
      </c>
      <c r="N20" s="144"/>
      <c r="O20" s="144"/>
      <c r="P20" s="144"/>
      <c r="Q20" s="144"/>
      <c r="R20" s="144"/>
      <c r="S20" s="144"/>
      <c r="T20" s="144"/>
      <c r="U20" s="144"/>
      <c r="V20" s="301"/>
      <c r="W20" s="288"/>
      <c r="X20" s="213">
        <f>X132+X180+X231</f>
        <v>383.07212000000004</v>
      </c>
      <c r="Y20" s="213">
        <f>Y132+Y180+Y231</f>
        <v>293.52756</v>
      </c>
      <c r="Z20" s="213">
        <f>Z132+Z180+Z231</f>
        <v>319.368643</v>
      </c>
      <c r="AA20" s="213">
        <f>AA132+AA180+AA231</f>
        <v>246.10951</v>
      </c>
      <c r="AB20" s="213">
        <v>260.03009</v>
      </c>
      <c r="AC20" s="213">
        <f>AC132+AC180+AC231</f>
        <v>262.8</v>
      </c>
      <c r="AD20" s="213">
        <f>AD132+AD180+AD231</f>
        <v>195.59999999999997</v>
      </c>
      <c r="AE20" s="213">
        <f>AE132+AE180+AE231</f>
        <v>152.05012</v>
      </c>
      <c r="AF20" s="213">
        <f>AF132+AF180+AF231</f>
        <v>154.2</v>
      </c>
      <c r="AG20" s="213">
        <f>AG132+AG180+AG231</f>
        <v>115.7</v>
      </c>
      <c r="AH20" s="213">
        <f>AH132-AH133+AH180-AH181+AH231</f>
        <v>31.786279999999998</v>
      </c>
      <c r="AI20" s="213"/>
      <c r="AJ20" s="213"/>
      <c r="AK20" s="213"/>
      <c r="AL20" s="213"/>
      <c r="AM20" s="213"/>
      <c r="AN20" s="213"/>
      <c r="AO20" s="213"/>
      <c r="AP20" s="213"/>
      <c r="AQ20" s="388"/>
      <c r="AS20" s="215">
        <v>158</v>
      </c>
      <c r="AT20" s="215">
        <f>Quarterly!FP18</f>
        <v>160.9</v>
      </c>
      <c r="AU20" s="215">
        <f>Quarterly!FS18</f>
        <v>112.1</v>
      </c>
      <c r="AV20" s="215">
        <f>Quarterly!FV18</f>
        <v>45.97158999999999</v>
      </c>
      <c r="AW20" s="215"/>
      <c r="AX20" s="215"/>
      <c r="AY20" s="215"/>
      <c r="AZ20" s="215"/>
      <c r="BA20" s="215"/>
      <c r="BB20" s="215"/>
      <c r="BC20" s="215"/>
      <c r="BD20" s="215"/>
      <c r="BE20" s="385"/>
    </row>
    <row r="21" spans="1:57" s="129" customFormat="1" ht="15" hidden="1" outlineLevel="1">
      <c r="A21" s="100" t="s">
        <v>99</v>
      </c>
      <c r="B21" s="100" t="s">
        <v>93</v>
      </c>
      <c r="C21" s="217">
        <f aca="true" t="shared" si="2" ref="C21:L21">C133+C181+C232</f>
        <v>1332.05917</v>
      </c>
      <c r="D21" s="217">
        <f t="shared" si="2"/>
        <v>1305.39775</v>
      </c>
      <c r="E21" s="217">
        <f t="shared" si="2"/>
        <v>1380.98878</v>
      </c>
      <c r="F21" s="217">
        <f t="shared" si="2"/>
        <v>1241.68828</v>
      </c>
      <c r="G21" s="217">
        <f t="shared" si="2"/>
        <v>1424.7612</v>
      </c>
      <c r="H21" s="217">
        <f t="shared" si="2"/>
        <v>1465.51376</v>
      </c>
      <c r="I21" s="217">
        <f t="shared" si="2"/>
        <v>1573.6</v>
      </c>
      <c r="J21" s="217">
        <f t="shared" si="2"/>
        <v>1630.73838</v>
      </c>
      <c r="K21" s="217">
        <f t="shared" si="2"/>
        <v>1761.52224</v>
      </c>
      <c r="L21" s="217">
        <f t="shared" si="2"/>
        <v>1706.7000000000003</v>
      </c>
      <c r="M21" s="217">
        <f>M133+AH133+M181+AH181+M232</f>
        <v>1732.5484829999998</v>
      </c>
      <c r="N21" s="217"/>
      <c r="O21" s="217"/>
      <c r="P21" s="217"/>
      <c r="Q21" s="217"/>
      <c r="R21" s="217"/>
      <c r="S21" s="217"/>
      <c r="T21" s="217"/>
      <c r="U21" s="217"/>
      <c r="V21" s="239"/>
      <c r="W21" s="289"/>
      <c r="X21" s="211"/>
      <c r="Y21" s="211"/>
      <c r="Z21" s="218"/>
      <c r="AA21" s="218"/>
      <c r="AB21" s="211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4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6"/>
    </row>
    <row r="22" spans="1:57" ht="15.75" hidden="1" outlineLevel="1">
      <c r="A22" s="70" t="s">
        <v>121</v>
      </c>
      <c r="B22" s="70" t="s">
        <v>57</v>
      </c>
      <c r="C22" s="144">
        <f aca="true" t="shared" si="3" ref="C22:K22">C24+C26+C28</f>
        <v>1376.17</v>
      </c>
      <c r="D22" s="144">
        <f t="shared" si="3"/>
        <v>1574.38</v>
      </c>
      <c r="E22" s="144">
        <f t="shared" si="3"/>
        <v>1665.0763219999997</v>
      </c>
      <c r="F22" s="144">
        <f t="shared" si="3"/>
        <v>1709.6701629999998</v>
      </c>
      <c r="G22" s="144">
        <f>G24+G26+G28</f>
        <v>2202.2501949999996</v>
      </c>
      <c r="H22" s="144">
        <f t="shared" si="3"/>
        <v>2260.2</v>
      </c>
      <c r="I22" s="144">
        <f t="shared" si="3"/>
        <v>2420.1</v>
      </c>
      <c r="J22" s="144">
        <f t="shared" si="3"/>
        <v>2683.164375</v>
      </c>
      <c r="K22" s="144">
        <f t="shared" si="3"/>
        <v>2995.92264</v>
      </c>
      <c r="L22" s="144">
        <f>L24+L26+L28</f>
        <v>3016.8</v>
      </c>
      <c r="M22" s="144">
        <f>M24+M26+M28</f>
        <v>2960.7545259999997</v>
      </c>
      <c r="N22" s="144"/>
      <c r="O22" s="144"/>
      <c r="P22" s="144"/>
      <c r="Q22" s="144"/>
      <c r="R22" s="144"/>
      <c r="S22" s="144"/>
      <c r="T22" s="144"/>
      <c r="U22" s="144"/>
      <c r="V22" s="301"/>
      <c r="W22" s="288"/>
      <c r="X22" s="213">
        <f>X24+X26+X28</f>
        <v>1170.80344</v>
      </c>
      <c r="Y22" s="213">
        <f>Y24+Y26+Y28</f>
        <v>1412.1895</v>
      </c>
      <c r="Z22" s="213">
        <f>Z24+Z26+Z28</f>
        <v>1476.6640000000002</v>
      </c>
      <c r="AA22" s="213">
        <f>AA24+AA26+AA28</f>
        <v>1444.668433</v>
      </c>
      <c r="AB22" s="213">
        <v>1967.087782</v>
      </c>
      <c r="AC22" s="213">
        <f aca="true" t="shared" si="4" ref="AC22:AH22">AC24+AC26+AC28</f>
        <v>1924.1</v>
      </c>
      <c r="AD22" s="213">
        <f t="shared" si="4"/>
        <v>2065.74775</v>
      </c>
      <c r="AE22" s="213">
        <f t="shared" si="4"/>
        <v>2248.7096300000003</v>
      </c>
      <c r="AF22" s="213">
        <f t="shared" si="4"/>
        <v>2540.57225</v>
      </c>
      <c r="AG22" s="213">
        <f t="shared" si="4"/>
        <v>2492.7000000000003</v>
      </c>
      <c r="AH22" s="213">
        <f t="shared" si="4"/>
        <v>2478.4470499999998</v>
      </c>
      <c r="AI22" s="213"/>
      <c r="AJ22" s="213"/>
      <c r="AK22" s="213"/>
      <c r="AL22" s="213"/>
      <c r="AM22" s="213"/>
      <c r="AN22" s="213"/>
      <c r="AO22" s="213"/>
      <c r="AP22" s="213"/>
      <c r="AQ22" s="388"/>
      <c r="AS22" s="215">
        <f>AS24+AS26+AS28</f>
        <v>2329.4</v>
      </c>
      <c r="AT22" s="215">
        <f>AT24+AT26+AT28</f>
        <v>2443</v>
      </c>
      <c r="AU22" s="215">
        <f>AU24+AU26+AU28</f>
        <v>2511.5</v>
      </c>
      <c r="AV22" s="215">
        <f>AV24+AV26+AV28</f>
        <v>2546.552821</v>
      </c>
      <c r="AW22" s="215"/>
      <c r="AX22" s="215"/>
      <c r="AY22" s="215"/>
      <c r="AZ22" s="215"/>
      <c r="BA22" s="215"/>
      <c r="BB22" s="215"/>
      <c r="BC22" s="215"/>
      <c r="BD22" s="215"/>
      <c r="BE22" s="385"/>
    </row>
    <row r="23" spans="1:57" s="129" customFormat="1" ht="15" hidden="1" outlineLevel="1">
      <c r="A23" s="100" t="s">
        <v>99</v>
      </c>
      <c r="B23" s="100" t="s">
        <v>93</v>
      </c>
      <c r="C23" s="217">
        <f>C25+C27</f>
        <v>131.9</v>
      </c>
      <c r="D23" s="217">
        <f>D25+D27</f>
        <v>91.5</v>
      </c>
      <c r="E23" s="217">
        <f>E25+E27</f>
        <v>194.50916999999998</v>
      </c>
      <c r="F23" s="217">
        <f>F25+F27</f>
        <v>280.9719</v>
      </c>
      <c r="G23" s="217">
        <f>G25+G27</f>
        <v>249.0016</v>
      </c>
      <c r="H23" s="217">
        <f aca="true" t="shared" si="5" ref="H23:M23">H25+H27</f>
        <v>313.20000000000005</v>
      </c>
      <c r="I23" s="217">
        <f t="shared" si="5"/>
        <v>358</v>
      </c>
      <c r="J23" s="217">
        <f t="shared" si="5"/>
        <v>426.3591</v>
      </c>
      <c r="K23" s="217">
        <f t="shared" si="5"/>
        <v>468.40576999999996</v>
      </c>
      <c r="L23" s="217">
        <f t="shared" si="5"/>
        <v>535.8</v>
      </c>
      <c r="M23" s="217">
        <f t="shared" si="5"/>
        <v>481.242701</v>
      </c>
      <c r="N23" s="217"/>
      <c r="O23" s="217"/>
      <c r="P23" s="217"/>
      <c r="Q23" s="217"/>
      <c r="R23" s="217"/>
      <c r="S23" s="217"/>
      <c r="T23" s="217"/>
      <c r="U23" s="217"/>
      <c r="V23" s="239"/>
      <c r="W23" s="289"/>
      <c r="X23" s="220"/>
      <c r="Y23" s="220"/>
      <c r="Z23" s="220"/>
      <c r="AA23" s="220"/>
      <c r="AB23" s="211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14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16"/>
    </row>
    <row r="24" spans="1:57" ht="15" hidden="1" outlineLevel="1">
      <c r="A24" s="116" t="s">
        <v>122</v>
      </c>
      <c r="B24" s="117" t="s">
        <v>60</v>
      </c>
      <c r="C24" s="222">
        <f aca="true" t="shared" si="6" ref="C24:M24">C136+C184+C235</f>
        <v>964.8</v>
      </c>
      <c r="D24" s="222">
        <f t="shared" si="6"/>
        <v>1160.75</v>
      </c>
      <c r="E24" s="222">
        <f t="shared" si="6"/>
        <v>1214.1983249999998</v>
      </c>
      <c r="F24" s="222">
        <f t="shared" si="6"/>
        <v>996.6759999999999</v>
      </c>
      <c r="G24" s="222">
        <f t="shared" si="6"/>
        <v>1434.614095</v>
      </c>
      <c r="H24" s="222">
        <f t="shared" si="6"/>
        <v>1297.5</v>
      </c>
      <c r="I24" s="222">
        <f t="shared" si="6"/>
        <v>1412.3</v>
      </c>
      <c r="J24" s="222">
        <f t="shared" si="6"/>
        <v>1423.040495</v>
      </c>
      <c r="K24" s="222">
        <f t="shared" si="6"/>
        <v>1533.22264</v>
      </c>
      <c r="L24" s="222">
        <f t="shared" si="6"/>
        <v>1434.4</v>
      </c>
      <c r="M24" s="222">
        <f t="shared" si="6"/>
        <v>1516.070326</v>
      </c>
      <c r="N24" s="222"/>
      <c r="O24" s="222"/>
      <c r="P24" s="222"/>
      <c r="Q24" s="222"/>
      <c r="R24" s="222"/>
      <c r="S24" s="222"/>
      <c r="T24" s="222"/>
      <c r="U24" s="222"/>
      <c r="V24" s="239"/>
      <c r="W24" s="69"/>
      <c r="X24" s="211">
        <f>X136+X184+X235</f>
        <v>816.46744</v>
      </c>
      <c r="Y24" s="211">
        <f>Y136+Y184+Y235</f>
        <v>1060.6675</v>
      </c>
      <c r="Z24" s="211">
        <f>Z136+Z184+Z235</f>
        <v>1124.8992</v>
      </c>
      <c r="AA24" s="211">
        <f>AA136+AA184+AA235</f>
        <v>936.37777</v>
      </c>
      <c r="AB24" s="211">
        <v>1397.382524</v>
      </c>
      <c r="AC24" s="211">
        <f aca="true" t="shared" si="7" ref="AC24:AH24">AC136+AC184+AC235</f>
        <v>1210.6</v>
      </c>
      <c r="AD24" s="211">
        <f t="shared" si="7"/>
        <v>1336.64775</v>
      </c>
      <c r="AE24" s="211">
        <f t="shared" si="7"/>
        <v>1323.58679</v>
      </c>
      <c r="AF24" s="211">
        <f t="shared" si="7"/>
        <v>1445.27225</v>
      </c>
      <c r="AG24" s="211">
        <f t="shared" si="7"/>
        <v>1318.9</v>
      </c>
      <c r="AH24" s="211">
        <f t="shared" si="7"/>
        <v>1429.7015500000002</v>
      </c>
      <c r="AI24" s="211"/>
      <c r="AJ24" s="211"/>
      <c r="AK24" s="211"/>
      <c r="AL24" s="211"/>
      <c r="AM24" s="211"/>
      <c r="AN24" s="211"/>
      <c r="AO24" s="211"/>
      <c r="AP24" s="211"/>
      <c r="AQ24" s="387"/>
      <c r="AS24" s="224">
        <v>1335.1</v>
      </c>
      <c r="AT24" s="224">
        <f>Quarterly!FP22</f>
        <v>1394.2</v>
      </c>
      <c r="AU24" s="224">
        <f>Quarterly!FS22</f>
        <v>1307.3</v>
      </c>
      <c r="AV24" s="224">
        <f>Quarterly!FV22</f>
        <v>1457.26343</v>
      </c>
      <c r="AW24" s="224"/>
      <c r="AX24" s="224"/>
      <c r="AY24" s="224"/>
      <c r="AZ24" s="224"/>
      <c r="BA24" s="224"/>
      <c r="BB24" s="224"/>
      <c r="BC24" s="224"/>
      <c r="BD24" s="224"/>
      <c r="BE24" s="216"/>
    </row>
    <row r="25" spans="1:57" s="129" customFormat="1" ht="15" hidden="1" outlineLevel="1">
      <c r="A25" s="100" t="s">
        <v>99</v>
      </c>
      <c r="B25" s="100" t="s">
        <v>93</v>
      </c>
      <c r="C25" s="217">
        <f aca="true" t="shared" si="8" ref="C25:M25">C137+C185+C236</f>
        <v>131.9</v>
      </c>
      <c r="D25" s="217">
        <f t="shared" si="8"/>
        <v>91.5</v>
      </c>
      <c r="E25" s="217">
        <f t="shared" si="8"/>
        <v>94.36617</v>
      </c>
      <c r="F25" s="217">
        <f t="shared" si="8"/>
        <v>80.8209</v>
      </c>
      <c r="G25" s="217">
        <f t="shared" si="8"/>
        <v>62.5795</v>
      </c>
      <c r="H25" s="217">
        <f t="shared" si="8"/>
        <v>56.6</v>
      </c>
      <c r="I25" s="217">
        <f t="shared" si="8"/>
        <v>78.1</v>
      </c>
      <c r="J25" s="217">
        <f t="shared" si="8"/>
        <v>99.96600000000001</v>
      </c>
      <c r="K25" s="217">
        <f t="shared" si="8"/>
        <v>104.00577000000001</v>
      </c>
      <c r="L25" s="217">
        <f t="shared" si="8"/>
        <v>118.8</v>
      </c>
      <c r="M25" s="217">
        <f t="shared" si="8"/>
        <v>86.63770099999999</v>
      </c>
      <c r="N25" s="217"/>
      <c r="O25" s="217"/>
      <c r="P25" s="217"/>
      <c r="Q25" s="217"/>
      <c r="R25" s="217"/>
      <c r="S25" s="217"/>
      <c r="T25" s="217"/>
      <c r="U25" s="217"/>
      <c r="V25" s="239"/>
      <c r="W25" s="289"/>
      <c r="X25" s="211"/>
      <c r="Y25" s="211"/>
      <c r="Z25" s="211"/>
      <c r="AA25" s="220"/>
      <c r="AB25" s="211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14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16"/>
    </row>
    <row r="26" spans="1:57" ht="15" hidden="1" outlineLevel="1">
      <c r="A26" s="117" t="s">
        <v>61</v>
      </c>
      <c r="B26" s="117" t="s">
        <v>62</v>
      </c>
      <c r="C26" s="222">
        <f aca="true" t="shared" si="9" ref="C26:M26">C138+C186+C237</f>
        <v>411.37</v>
      </c>
      <c r="D26" s="222">
        <f t="shared" si="9"/>
        <v>413.63</v>
      </c>
      <c r="E26" s="222">
        <f t="shared" si="9"/>
        <v>449.778997</v>
      </c>
      <c r="F26" s="222">
        <f t="shared" si="9"/>
        <v>448.872633</v>
      </c>
      <c r="G26" s="222">
        <f t="shared" si="9"/>
        <v>450.015</v>
      </c>
      <c r="H26" s="222">
        <f t="shared" si="9"/>
        <v>449.2</v>
      </c>
      <c r="I26" s="222">
        <f t="shared" si="9"/>
        <v>458.8</v>
      </c>
      <c r="J26" s="222">
        <f t="shared" si="9"/>
        <v>571.42</v>
      </c>
      <c r="K26" s="222">
        <f t="shared" si="9"/>
        <v>655.7</v>
      </c>
      <c r="L26" s="222">
        <f t="shared" si="9"/>
        <v>645.6</v>
      </c>
      <c r="M26" s="222">
        <f t="shared" si="9"/>
        <v>585.1</v>
      </c>
      <c r="N26" s="222"/>
      <c r="O26" s="222"/>
      <c r="P26" s="222"/>
      <c r="Q26" s="222"/>
      <c r="R26" s="222"/>
      <c r="S26" s="222"/>
      <c r="T26" s="222"/>
      <c r="U26" s="222"/>
      <c r="V26" s="239"/>
      <c r="W26" s="69"/>
      <c r="X26" s="211">
        <f>X138+X186+X237</f>
        <v>354.33599999999996</v>
      </c>
      <c r="Y26" s="211">
        <f>Y138+Y186+Y237</f>
        <v>351.522</v>
      </c>
      <c r="Z26" s="211">
        <f>Z138+Z186+Z237</f>
        <v>351.76480000000004</v>
      </c>
      <c r="AA26" s="211">
        <f>AA138+AA186+AA237</f>
        <v>246.87213300000002</v>
      </c>
      <c r="AB26" s="211">
        <v>262.608258</v>
      </c>
      <c r="AC26" s="211">
        <f aca="true" t="shared" si="10" ref="AC26:AH26">AC138</f>
        <v>195.6</v>
      </c>
      <c r="AD26" s="211">
        <f t="shared" si="10"/>
        <v>178.5</v>
      </c>
      <c r="AE26" s="211">
        <f t="shared" si="10"/>
        <v>242.59334</v>
      </c>
      <c r="AF26" s="211">
        <f t="shared" si="10"/>
        <v>290.9</v>
      </c>
      <c r="AG26" s="211">
        <f t="shared" si="10"/>
        <v>230.4</v>
      </c>
      <c r="AH26" s="211">
        <f t="shared" si="10"/>
        <v>189.0271</v>
      </c>
      <c r="AI26" s="211"/>
      <c r="AJ26" s="211"/>
      <c r="AK26" s="211"/>
      <c r="AL26" s="211"/>
      <c r="AM26" s="211"/>
      <c r="AN26" s="211"/>
      <c r="AO26" s="211"/>
      <c r="AP26" s="211"/>
      <c r="AQ26" s="387"/>
      <c r="AS26" s="224">
        <v>252.9</v>
      </c>
      <c r="AT26" s="224">
        <f>Quarterly!FP24</f>
        <v>282.7</v>
      </c>
      <c r="AU26" s="224">
        <f>Quarterly!FS24</f>
        <v>236.9</v>
      </c>
      <c r="AV26" s="224">
        <f>Quarterly!FV24</f>
        <v>223.54727999999994</v>
      </c>
      <c r="AW26" s="224"/>
      <c r="AX26" s="224"/>
      <c r="AY26" s="224"/>
      <c r="AZ26" s="224"/>
      <c r="BA26" s="224"/>
      <c r="BB26" s="224"/>
      <c r="BC26" s="224"/>
      <c r="BD26" s="224"/>
      <c r="BE26" s="216"/>
    </row>
    <row r="27" spans="1:57" s="129" customFormat="1" ht="15" hidden="1" outlineLevel="1">
      <c r="A27" s="100" t="s">
        <v>99</v>
      </c>
      <c r="B27" s="100" t="s">
        <v>93</v>
      </c>
      <c r="C27" s="217">
        <f aca="true" t="shared" si="11" ref="C27:M27">C139+C187+C238</f>
        <v>0</v>
      </c>
      <c r="D27" s="217">
        <f t="shared" si="11"/>
        <v>0</v>
      </c>
      <c r="E27" s="217">
        <f t="shared" si="11"/>
        <v>100.143</v>
      </c>
      <c r="F27" s="217">
        <f t="shared" si="11"/>
        <v>200.151</v>
      </c>
      <c r="G27" s="217">
        <f t="shared" si="11"/>
        <v>186.4221</v>
      </c>
      <c r="H27" s="217">
        <f t="shared" si="11"/>
        <v>256.6</v>
      </c>
      <c r="I27" s="217">
        <f t="shared" si="11"/>
        <v>279.9</v>
      </c>
      <c r="J27" s="217">
        <f t="shared" si="11"/>
        <v>326.3931</v>
      </c>
      <c r="K27" s="217">
        <f t="shared" si="11"/>
        <v>364.4</v>
      </c>
      <c r="L27" s="217">
        <f t="shared" si="11"/>
        <v>417</v>
      </c>
      <c r="M27" s="217">
        <f t="shared" si="11"/>
        <v>394.605</v>
      </c>
      <c r="N27" s="217"/>
      <c r="O27" s="217"/>
      <c r="P27" s="217"/>
      <c r="Q27" s="217"/>
      <c r="R27" s="217"/>
      <c r="S27" s="217"/>
      <c r="T27" s="217"/>
      <c r="U27" s="217"/>
      <c r="V27" s="239"/>
      <c r="W27" s="289"/>
      <c r="X27" s="220"/>
      <c r="Y27" s="220"/>
      <c r="Z27" s="220"/>
      <c r="AA27" s="220"/>
      <c r="AB27" s="211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14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16"/>
    </row>
    <row r="28" spans="1:57" ht="15" hidden="1" outlineLevel="1">
      <c r="A28" s="116" t="s">
        <v>123</v>
      </c>
      <c r="B28" s="117" t="s">
        <v>64</v>
      </c>
      <c r="C28" s="222">
        <f aca="true" t="shared" si="12" ref="C28:M28">C144+C188+C239</f>
        <v>0</v>
      </c>
      <c r="D28" s="222">
        <f t="shared" si="12"/>
        <v>0</v>
      </c>
      <c r="E28" s="222">
        <f t="shared" si="12"/>
        <v>1.099</v>
      </c>
      <c r="F28" s="222">
        <f t="shared" si="12"/>
        <v>264.12153</v>
      </c>
      <c r="G28" s="222">
        <f t="shared" si="12"/>
        <v>317.6211</v>
      </c>
      <c r="H28" s="222">
        <f t="shared" si="12"/>
        <v>513.5</v>
      </c>
      <c r="I28" s="222">
        <f t="shared" si="12"/>
        <v>549</v>
      </c>
      <c r="J28" s="222">
        <f t="shared" si="12"/>
        <v>688.70388</v>
      </c>
      <c r="K28" s="222">
        <f t="shared" si="12"/>
        <v>807</v>
      </c>
      <c r="L28" s="222">
        <f t="shared" si="12"/>
        <v>936.8</v>
      </c>
      <c r="M28" s="222">
        <f t="shared" si="12"/>
        <v>859.5842</v>
      </c>
      <c r="N28" s="222"/>
      <c r="O28" s="222"/>
      <c r="P28" s="222"/>
      <c r="Q28" s="222"/>
      <c r="R28" s="222"/>
      <c r="S28" s="222"/>
      <c r="T28" s="222"/>
      <c r="U28" s="222"/>
      <c r="V28" s="239"/>
      <c r="W28" s="69"/>
      <c r="X28" s="211">
        <f>X144+X188+X239</f>
        <v>0</v>
      </c>
      <c r="Y28" s="211">
        <f>Y144+Y188+Y239</f>
        <v>0</v>
      </c>
      <c r="Z28" s="211">
        <f>Z144+Z188+Z239</f>
        <v>0</v>
      </c>
      <c r="AA28" s="211">
        <f>AA144+AA188+AA239</f>
        <v>261.41853</v>
      </c>
      <c r="AB28" s="211">
        <v>307.097</v>
      </c>
      <c r="AC28" s="211">
        <f aca="true" t="shared" si="13" ref="AC28:AH28">AC144+AC188+AC239</f>
        <v>517.9</v>
      </c>
      <c r="AD28" s="211">
        <f t="shared" si="13"/>
        <v>550.6</v>
      </c>
      <c r="AE28" s="211">
        <f t="shared" si="13"/>
        <v>682.5295</v>
      </c>
      <c r="AF28" s="211">
        <f t="shared" si="13"/>
        <v>804.4</v>
      </c>
      <c r="AG28" s="211">
        <f t="shared" si="13"/>
        <v>943.4</v>
      </c>
      <c r="AH28" s="211">
        <f t="shared" si="13"/>
        <v>859.7183999999997</v>
      </c>
      <c r="AI28" s="211"/>
      <c r="AJ28" s="211"/>
      <c r="AK28" s="211"/>
      <c r="AL28" s="211"/>
      <c r="AM28" s="211"/>
      <c r="AN28" s="211"/>
      <c r="AO28" s="211"/>
      <c r="AP28" s="211"/>
      <c r="AQ28" s="387"/>
      <c r="AS28" s="224">
        <v>741.4</v>
      </c>
      <c r="AT28" s="224">
        <f>Quarterly!FP26</f>
        <v>766.1</v>
      </c>
      <c r="AU28" s="224">
        <f>Quarterly!FS26</f>
        <v>967.3</v>
      </c>
      <c r="AV28" s="224">
        <f>Quarterly!FV26</f>
        <v>865.742111</v>
      </c>
      <c r="AW28" s="224"/>
      <c r="AX28" s="224"/>
      <c r="AY28" s="224"/>
      <c r="AZ28" s="224"/>
      <c r="BA28" s="224"/>
      <c r="BB28" s="224"/>
      <c r="BC28" s="224"/>
      <c r="BD28" s="224"/>
      <c r="BE28" s="216"/>
    </row>
    <row r="29" spans="1:57" ht="15.75" hidden="1" outlineLevel="1">
      <c r="A29" s="70" t="s">
        <v>124</v>
      </c>
      <c r="B29" s="70" t="s">
        <v>65</v>
      </c>
      <c r="C29" s="144">
        <f aca="true" t="shared" si="14" ref="C29:K29">C31+C33+C34</f>
        <v>2677.15961</v>
      </c>
      <c r="D29" s="144">
        <f t="shared" si="14"/>
        <v>2514.02041</v>
      </c>
      <c r="E29" s="144">
        <f t="shared" si="14"/>
        <v>2672.942005</v>
      </c>
      <c r="F29" s="144">
        <f t="shared" si="14"/>
        <v>1995.6768500000003</v>
      </c>
      <c r="G29" s="144">
        <f>G31+G33+G34</f>
        <v>2120.41098</v>
      </c>
      <c r="H29" s="144">
        <f t="shared" si="14"/>
        <v>2447.1</v>
      </c>
      <c r="I29" s="144">
        <f t="shared" si="14"/>
        <v>2607.082</v>
      </c>
      <c r="J29" s="144">
        <f t="shared" si="14"/>
        <v>2583.292</v>
      </c>
      <c r="K29" s="144">
        <f t="shared" si="14"/>
        <v>2613.324275</v>
      </c>
      <c r="L29" s="144">
        <f>L31+L33+L34</f>
        <v>2531.2</v>
      </c>
      <c r="M29" s="144">
        <f>M31+M33+M34</f>
        <v>2484.74</v>
      </c>
      <c r="N29" s="144"/>
      <c r="O29" s="144"/>
      <c r="P29" s="144"/>
      <c r="Q29" s="144"/>
      <c r="R29" s="144"/>
      <c r="S29" s="144"/>
      <c r="T29" s="144"/>
      <c r="U29" s="144"/>
      <c r="V29" s="301"/>
      <c r="W29" s="288"/>
      <c r="X29" s="213">
        <f>X31+X33+X34</f>
        <v>2554.2417499999997</v>
      </c>
      <c r="Y29" s="213">
        <f>Y31+Y33+Y34</f>
        <v>2454.6583000000005</v>
      </c>
      <c r="Z29" s="213">
        <f>Z31+Z33+Z34</f>
        <v>2632.6554680000004</v>
      </c>
      <c r="AA29" s="213">
        <f>AA31+AA33+AA34</f>
        <v>1869.795554</v>
      </c>
      <c r="AB29" s="213">
        <v>2215.295729</v>
      </c>
      <c r="AC29" s="213">
        <f aca="true" t="shared" si="15" ref="AC29:AH29">AC31+AC33+AC34</f>
        <v>2344.9</v>
      </c>
      <c r="AD29" s="213">
        <f t="shared" si="15"/>
        <v>2566.670404</v>
      </c>
      <c r="AE29" s="213">
        <f t="shared" si="15"/>
        <v>2465.2878659999997</v>
      </c>
      <c r="AF29" s="213">
        <f t="shared" si="15"/>
        <v>2624.807064</v>
      </c>
      <c r="AG29" s="213">
        <f t="shared" si="15"/>
        <v>2502</v>
      </c>
      <c r="AH29" s="213">
        <f t="shared" si="15"/>
        <v>2389.9933099999985</v>
      </c>
      <c r="AI29" s="213"/>
      <c r="AJ29" s="213"/>
      <c r="AK29" s="213"/>
      <c r="AL29" s="213"/>
      <c r="AM29" s="213"/>
      <c r="AN29" s="213"/>
      <c r="AO29" s="213"/>
      <c r="AP29" s="213"/>
      <c r="AQ29" s="388"/>
      <c r="AS29" s="215">
        <f>AS31+AS34</f>
        <v>2398.6944559999997</v>
      </c>
      <c r="AT29" s="215">
        <f>AT31+AT34</f>
        <v>2648.5</v>
      </c>
      <c r="AU29" s="215">
        <f>AU31+AU34</f>
        <v>2520.3</v>
      </c>
      <c r="AV29" s="215">
        <f>AV31+AV34</f>
        <v>2306.30037</v>
      </c>
      <c r="AW29" s="215"/>
      <c r="AX29" s="215"/>
      <c r="AY29" s="215"/>
      <c r="AZ29" s="215"/>
      <c r="BA29" s="215"/>
      <c r="BB29" s="215"/>
      <c r="BC29" s="215"/>
      <c r="BD29" s="215"/>
      <c r="BE29" s="385"/>
    </row>
    <row r="30" spans="1:57" s="129" customFormat="1" ht="15" hidden="1" outlineLevel="1">
      <c r="A30" s="100" t="s">
        <v>99</v>
      </c>
      <c r="B30" s="100" t="s">
        <v>93</v>
      </c>
      <c r="C30" s="217">
        <f>C32</f>
        <v>70.1</v>
      </c>
      <c r="D30" s="217">
        <f>D32</f>
        <v>58</v>
      </c>
      <c r="E30" s="217">
        <f>E32</f>
        <v>51.90084</v>
      </c>
      <c r="F30" s="217">
        <f>F32</f>
        <v>31.02072</v>
      </c>
      <c r="G30" s="217">
        <f>G32</f>
        <v>34.935900000000004</v>
      </c>
      <c r="H30" s="217">
        <f aca="true" t="shared" si="16" ref="H30:M30">H32</f>
        <v>33.6</v>
      </c>
      <c r="I30" s="217">
        <f t="shared" si="16"/>
        <v>33.2</v>
      </c>
      <c r="J30" s="217">
        <f t="shared" si="16"/>
        <v>35</v>
      </c>
      <c r="K30" s="217">
        <f t="shared" si="16"/>
        <v>39.09272</v>
      </c>
      <c r="L30" s="217">
        <f t="shared" si="16"/>
        <v>35.9</v>
      </c>
      <c r="M30" s="217">
        <f t="shared" si="16"/>
        <v>23.785</v>
      </c>
      <c r="N30" s="217"/>
      <c r="O30" s="217"/>
      <c r="P30" s="217"/>
      <c r="Q30" s="217"/>
      <c r="R30" s="217"/>
      <c r="S30" s="217"/>
      <c r="T30" s="217"/>
      <c r="U30" s="217"/>
      <c r="V30" s="239"/>
      <c r="W30" s="289"/>
      <c r="X30" s="218"/>
      <c r="Y30" s="218"/>
      <c r="Z30" s="218"/>
      <c r="AA30" s="218"/>
      <c r="AB30" s="211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4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6"/>
    </row>
    <row r="31" spans="1:57" ht="15" hidden="1" outlineLevel="1">
      <c r="A31" s="116" t="s">
        <v>193</v>
      </c>
      <c r="B31" s="117" t="s">
        <v>67</v>
      </c>
      <c r="C31" s="222">
        <f aca="true" t="shared" si="17" ref="C31:M31">C148+C191+C242</f>
        <v>2323.93161</v>
      </c>
      <c r="D31" s="222">
        <f t="shared" si="17"/>
        <v>2332.81941</v>
      </c>
      <c r="E31" s="222">
        <f t="shared" si="17"/>
        <v>2382.757005</v>
      </c>
      <c r="F31" s="222">
        <f t="shared" si="17"/>
        <v>1897.8158</v>
      </c>
      <c r="G31" s="222">
        <f t="shared" si="17"/>
        <v>2030.2205000000001</v>
      </c>
      <c r="H31" s="222">
        <f t="shared" si="17"/>
        <v>2366</v>
      </c>
      <c r="I31" s="222">
        <f t="shared" si="17"/>
        <v>2516.582</v>
      </c>
      <c r="J31" s="222">
        <f t="shared" si="17"/>
        <v>2494.892</v>
      </c>
      <c r="K31" s="222">
        <f t="shared" si="17"/>
        <v>2514.0115</v>
      </c>
      <c r="L31" s="222">
        <f t="shared" si="17"/>
        <v>2443</v>
      </c>
      <c r="M31" s="222">
        <f t="shared" si="17"/>
        <v>2428.298</v>
      </c>
      <c r="N31" s="222"/>
      <c r="O31" s="222"/>
      <c r="P31" s="222"/>
      <c r="Q31" s="222"/>
      <c r="R31" s="222"/>
      <c r="S31" s="222"/>
      <c r="T31" s="222"/>
      <c r="U31" s="222"/>
      <c r="V31" s="239"/>
      <c r="W31" s="69"/>
      <c r="X31" s="211">
        <f>X148+X191+X242</f>
        <v>2198.54875</v>
      </c>
      <c r="Y31" s="211">
        <f>Y148+Y191+Y242</f>
        <v>2271.2083000000002</v>
      </c>
      <c r="Z31" s="211">
        <f>Z148+Z191+Z242</f>
        <v>2351.724368</v>
      </c>
      <c r="AA31" s="211">
        <f>AA148+AA191+AA242</f>
        <v>1760.4808540000001</v>
      </c>
      <c r="AB31" s="211">
        <v>2023.152949</v>
      </c>
      <c r="AC31" s="211">
        <f aca="true" t="shared" si="18" ref="AC31:AH31">AC148+AC191+AC242</f>
        <v>2270.8</v>
      </c>
      <c r="AD31" s="211">
        <f t="shared" si="18"/>
        <v>2473.164404</v>
      </c>
      <c r="AE31" s="211">
        <f t="shared" si="18"/>
        <v>2374.087866</v>
      </c>
      <c r="AF31" s="211">
        <f t="shared" si="18"/>
        <v>2525.207064</v>
      </c>
      <c r="AG31" s="211">
        <f t="shared" si="18"/>
        <v>2413</v>
      </c>
      <c r="AH31" s="211">
        <f t="shared" si="18"/>
        <v>2334.4473099999987</v>
      </c>
      <c r="AI31" s="211"/>
      <c r="AJ31" s="211"/>
      <c r="AK31" s="211"/>
      <c r="AL31" s="211"/>
      <c r="AM31" s="211"/>
      <c r="AN31" s="211"/>
      <c r="AO31" s="211"/>
      <c r="AP31" s="211"/>
      <c r="AQ31" s="387"/>
      <c r="AS31" s="224">
        <v>2311.3944559999995</v>
      </c>
      <c r="AT31" s="224">
        <f>Quarterly!FP29</f>
        <v>2541.8</v>
      </c>
      <c r="AU31" s="224">
        <f>Quarterly!FS29</f>
        <v>2431.5</v>
      </c>
      <c r="AV31" s="224">
        <f>Quarterly!FV29</f>
        <v>2250.6853699999997</v>
      </c>
      <c r="AW31" s="224"/>
      <c r="AX31" s="224"/>
      <c r="AY31" s="224"/>
      <c r="AZ31" s="224"/>
      <c r="BA31" s="224"/>
      <c r="BB31" s="224"/>
      <c r="BC31" s="224"/>
      <c r="BD31" s="224"/>
      <c r="BE31" s="216"/>
    </row>
    <row r="32" spans="1:57" s="129" customFormat="1" ht="15" hidden="1" outlineLevel="1">
      <c r="A32" s="100" t="s">
        <v>99</v>
      </c>
      <c r="B32" s="100" t="s">
        <v>93</v>
      </c>
      <c r="C32" s="217">
        <f aca="true" t="shared" si="19" ref="C32:M32">C149+C192+C243</f>
        <v>70.1</v>
      </c>
      <c r="D32" s="217">
        <f t="shared" si="19"/>
        <v>58</v>
      </c>
      <c r="E32" s="217">
        <f t="shared" si="19"/>
        <v>51.90084</v>
      </c>
      <c r="F32" s="217">
        <f t="shared" si="19"/>
        <v>31.02072</v>
      </c>
      <c r="G32" s="217">
        <f t="shared" si="19"/>
        <v>34.935900000000004</v>
      </c>
      <c r="H32" s="217">
        <f t="shared" si="19"/>
        <v>33.6</v>
      </c>
      <c r="I32" s="217">
        <f t="shared" si="19"/>
        <v>33.2</v>
      </c>
      <c r="J32" s="217">
        <f t="shared" si="19"/>
        <v>35</v>
      </c>
      <c r="K32" s="217">
        <f t="shared" si="19"/>
        <v>39.09272</v>
      </c>
      <c r="L32" s="217">
        <f t="shared" si="19"/>
        <v>35.9</v>
      </c>
      <c r="M32" s="217">
        <f t="shared" si="19"/>
        <v>23.785</v>
      </c>
      <c r="N32" s="217"/>
      <c r="O32" s="217"/>
      <c r="P32" s="217"/>
      <c r="Q32" s="217"/>
      <c r="R32" s="217"/>
      <c r="S32" s="217"/>
      <c r="T32" s="217"/>
      <c r="U32" s="217"/>
      <c r="V32" s="239"/>
      <c r="W32" s="289"/>
      <c r="X32" s="220"/>
      <c r="Y32" s="220"/>
      <c r="Z32" s="220"/>
      <c r="AA32" s="220"/>
      <c r="AB32" s="211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14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16"/>
    </row>
    <row r="33" spans="1:57" ht="15" hidden="1" outlineLevel="1">
      <c r="A33" s="117" t="s">
        <v>68</v>
      </c>
      <c r="B33" s="117" t="s">
        <v>69</v>
      </c>
      <c r="C33" s="222">
        <f aca="true" t="shared" si="20" ref="C33:M33">C150+C193+C244</f>
        <v>135.828</v>
      </c>
      <c r="D33" s="222">
        <f t="shared" si="20"/>
        <v>29.801</v>
      </c>
      <c r="E33" s="222">
        <f t="shared" si="20"/>
        <v>136.074</v>
      </c>
      <c r="F33" s="222">
        <f t="shared" si="20"/>
        <v>4.85605</v>
      </c>
      <c r="G33" s="222">
        <f t="shared" si="20"/>
        <v>0</v>
      </c>
      <c r="H33" s="222">
        <f t="shared" si="20"/>
        <v>0</v>
      </c>
      <c r="I33" s="222">
        <f t="shared" si="20"/>
        <v>0</v>
      </c>
      <c r="J33" s="222">
        <f t="shared" si="20"/>
        <v>0</v>
      </c>
      <c r="K33" s="222">
        <f t="shared" si="20"/>
        <v>0</v>
      </c>
      <c r="L33" s="222">
        <f t="shared" si="20"/>
        <v>0</v>
      </c>
      <c r="M33" s="222">
        <f t="shared" si="20"/>
        <v>0</v>
      </c>
      <c r="N33" s="222"/>
      <c r="O33" s="222"/>
      <c r="P33" s="222"/>
      <c r="Q33" s="222"/>
      <c r="R33" s="222"/>
      <c r="S33" s="222"/>
      <c r="T33" s="222"/>
      <c r="U33" s="222"/>
      <c r="V33" s="239"/>
      <c r="W33" s="69"/>
      <c r="X33" s="211">
        <f>X150+X193+X244</f>
        <v>136.493</v>
      </c>
      <c r="Y33" s="211">
        <f>Y150+Y193+Y244</f>
        <v>30.15</v>
      </c>
      <c r="Z33" s="211">
        <f>Z150+Z193+Z244</f>
        <v>133.0401</v>
      </c>
      <c r="AA33" s="211">
        <f>AA150+AA193+AA244</f>
        <v>8.252</v>
      </c>
      <c r="AB33" s="211">
        <v>0</v>
      </c>
      <c r="AC33" s="211">
        <f aca="true" t="shared" si="21" ref="AC33:AH33">AC150+AC193+AC244</f>
        <v>0</v>
      </c>
      <c r="AD33" s="211">
        <f t="shared" si="21"/>
        <v>0</v>
      </c>
      <c r="AE33" s="211">
        <f t="shared" si="21"/>
        <v>0</v>
      </c>
      <c r="AF33" s="211">
        <f t="shared" si="21"/>
        <v>0</v>
      </c>
      <c r="AG33" s="211">
        <f t="shared" si="21"/>
        <v>0</v>
      </c>
      <c r="AH33" s="211">
        <f t="shared" si="21"/>
        <v>0</v>
      </c>
      <c r="AI33" s="211"/>
      <c r="AJ33" s="211"/>
      <c r="AK33" s="211"/>
      <c r="AL33" s="211"/>
      <c r="AM33" s="211"/>
      <c r="AN33" s="211"/>
      <c r="AO33" s="211"/>
      <c r="AP33" s="211"/>
      <c r="AQ33" s="21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16"/>
    </row>
    <row r="34" spans="1:57" ht="15" hidden="1" outlineLevel="1">
      <c r="A34" s="117" t="s">
        <v>70</v>
      </c>
      <c r="B34" s="116" t="s">
        <v>125</v>
      </c>
      <c r="C34" s="222">
        <f aca="true" t="shared" si="22" ref="C34:M34">C151+C194+C245</f>
        <v>217.4</v>
      </c>
      <c r="D34" s="222">
        <f t="shared" si="22"/>
        <v>151.4</v>
      </c>
      <c r="E34" s="222">
        <f t="shared" si="22"/>
        <v>154.111</v>
      </c>
      <c r="F34" s="222">
        <f t="shared" si="22"/>
        <v>93.005</v>
      </c>
      <c r="G34" s="222">
        <f t="shared" si="22"/>
        <v>90.19048000000001</v>
      </c>
      <c r="H34" s="222">
        <f t="shared" si="22"/>
        <v>81.1</v>
      </c>
      <c r="I34" s="222">
        <f t="shared" si="22"/>
        <v>90.5</v>
      </c>
      <c r="J34" s="222">
        <f t="shared" si="22"/>
        <v>88.4</v>
      </c>
      <c r="K34" s="222">
        <f t="shared" si="22"/>
        <v>99.312775</v>
      </c>
      <c r="L34" s="222">
        <f t="shared" si="22"/>
        <v>88.2</v>
      </c>
      <c r="M34" s="222">
        <f t="shared" si="22"/>
        <v>56.442</v>
      </c>
      <c r="N34" s="222"/>
      <c r="O34" s="222"/>
      <c r="P34" s="222"/>
      <c r="Q34" s="222"/>
      <c r="R34" s="222"/>
      <c r="S34" s="222"/>
      <c r="T34" s="222"/>
      <c r="U34" s="222"/>
      <c r="V34" s="239"/>
      <c r="W34" s="69"/>
      <c r="X34" s="211">
        <f aca="true" t="shared" si="23" ref="X34:AF34">X151+X194</f>
        <v>219.2</v>
      </c>
      <c r="Y34" s="211">
        <f t="shared" si="23"/>
        <v>153.3</v>
      </c>
      <c r="Z34" s="211">
        <f t="shared" si="23"/>
        <v>147.891</v>
      </c>
      <c r="AA34" s="211">
        <f t="shared" si="23"/>
        <v>101.06269999999999</v>
      </c>
      <c r="AB34" s="211">
        <f t="shared" si="23"/>
        <v>92.52278</v>
      </c>
      <c r="AC34" s="211">
        <f t="shared" si="23"/>
        <v>74.1</v>
      </c>
      <c r="AD34" s="211">
        <f t="shared" si="23"/>
        <v>93.506</v>
      </c>
      <c r="AE34" s="211">
        <f t="shared" si="23"/>
        <v>91.2</v>
      </c>
      <c r="AF34" s="211">
        <f t="shared" si="23"/>
        <v>99.6</v>
      </c>
      <c r="AG34" s="211">
        <f>AG151+AG194</f>
        <v>89</v>
      </c>
      <c r="AH34" s="211">
        <f>AH151+AH194</f>
        <v>55.546</v>
      </c>
      <c r="AI34" s="211"/>
      <c r="AJ34" s="211"/>
      <c r="AK34" s="211"/>
      <c r="AL34" s="211"/>
      <c r="AM34" s="211"/>
      <c r="AN34" s="211"/>
      <c r="AO34" s="211"/>
      <c r="AP34" s="211"/>
      <c r="AQ34" s="387"/>
      <c r="AS34" s="224">
        <v>87.3</v>
      </c>
      <c r="AT34" s="224">
        <f>Quarterly!FP32</f>
        <v>106.7</v>
      </c>
      <c r="AU34" s="224">
        <f>Quarterly!FS32</f>
        <v>88.8</v>
      </c>
      <c r="AV34" s="224">
        <f>Quarterly!FV32</f>
        <v>55.61500000000001</v>
      </c>
      <c r="AW34" s="224"/>
      <c r="AX34" s="224"/>
      <c r="AY34" s="224"/>
      <c r="AZ34" s="224"/>
      <c r="BA34" s="224"/>
      <c r="BB34" s="224"/>
      <c r="BC34" s="224"/>
      <c r="BD34" s="224"/>
      <c r="BE34" s="216"/>
    </row>
    <row r="35" spans="1:57" ht="15" customHeight="1" hidden="1" outlineLevel="1">
      <c r="A35" s="117" t="s">
        <v>12</v>
      </c>
      <c r="B35" s="117"/>
      <c r="C35" s="222">
        <f>C246</f>
        <v>211.4385</v>
      </c>
      <c r="D35" s="222">
        <f>D246</f>
        <v>30.937</v>
      </c>
      <c r="E35" s="222" t="s">
        <v>39</v>
      </c>
      <c r="F35" s="222" t="s">
        <v>39</v>
      </c>
      <c r="G35" s="222"/>
      <c r="H35" s="222" t="s">
        <v>39</v>
      </c>
      <c r="I35" s="222" t="s">
        <v>39</v>
      </c>
      <c r="J35" s="222" t="s">
        <v>39</v>
      </c>
      <c r="K35" s="222" t="s">
        <v>39</v>
      </c>
      <c r="L35" s="222" t="s">
        <v>39</v>
      </c>
      <c r="M35" s="222" t="s">
        <v>39</v>
      </c>
      <c r="N35" s="222"/>
      <c r="O35" s="222"/>
      <c r="P35" s="222"/>
      <c r="Q35" s="222"/>
      <c r="R35" s="222"/>
      <c r="S35" s="222"/>
      <c r="T35" s="222"/>
      <c r="U35" s="222"/>
      <c r="V35" s="239"/>
      <c r="W35" s="69"/>
      <c r="X35" s="211">
        <f>X246</f>
        <v>196.439</v>
      </c>
      <c r="Y35" s="211">
        <f>Y246</f>
        <v>44.7005</v>
      </c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16"/>
    </row>
    <row r="36" spans="1:57" ht="15" customHeight="1" hidden="1" outlineLevel="1">
      <c r="A36" s="117" t="s">
        <v>100</v>
      </c>
      <c r="B36" s="117" t="s">
        <v>103</v>
      </c>
      <c r="C36" s="222">
        <f>C247</f>
        <v>28.3281</v>
      </c>
      <c r="D36" s="222">
        <f>D247</f>
        <v>11.49255</v>
      </c>
      <c r="E36" s="222" t="s">
        <v>39</v>
      </c>
      <c r="F36" s="222" t="s">
        <v>39</v>
      </c>
      <c r="G36" s="222"/>
      <c r="H36" s="222" t="s">
        <v>39</v>
      </c>
      <c r="I36" s="222" t="s">
        <v>39</v>
      </c>
      <c r="J36" s="222" t="s">
        <v>39</v>
      </c>
      <c r="K36" s="222" t="s">
        <v>39</v>
      </c>
      <c r="L36" s="222" t="s">
        <v>39</v>
      </c>
      <c r="M36" s="222" t="s">
        <v>39</v>
      </c>
      <c r="N36" s="222"/>
      <c r="O36" s="222"/>
      <c r="P36" s="222"/>
      <c r="Q36" s="222"/>
      <c r="R36" s="222"/>
      <c r="S36" s="222"/>
      <c r="T36" s="222"/>
      <c r="U36" s="222"/>
      <c r="V36" s="239"/>
      <c r="W36" s="69"/>
      <c r="X36" s="211">
        <f>X247</f>
        <v>24.07512</v>
      </c>
      <c r="Y36" s="211">
        <f>Y247</f>
        <v>0.47656</v>
      </c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16"/>
    </row>
    <row r="37" spans="1:57" ht="30.75" hidden="1" outlineLevel="1">
      <c r="A37" s="70" t="s">
        <v>126</v>
      </c>
      <c r="B37" s="70" t="s">
        <v>72</v>
      </c>
      <c r="C37" s="144">
        <f aca="true" t="shared" si="24" ref="C37:K37">C39+C41+C43+C45</f>
        <v>359.082</v>
      </c>
      <c r="D37" s="144">
        <f t="shared" si="24"/>
        <v>444.25004</v>
      </c>
      <c r="E37" s="144">
        <f t="shared" si="24"/>
        <v>623.4015420000001</v>
      </c>
      <c r="F37" s="144">
        <f t="shared" si="24"/>
        <v>600.910404</v>
      </c>
      <c r="G37" s="144">
        <f>G39+G41+G43+G45</f>
        <v>355.364952</v>
      </c>
      <c r="H37" s="144">
        <f t="shared" si="24"/>
        <v>371</v>
      </c>
      <c r="I37" s="144">
        <f t="shared" si="24"/>
        <v>398.617725</v>
      </c>
      <c r="J37" s="144">
        <f t="shared" si="24"/>
        <v>389.209346</v>
      </c>
      <c r="K37" s="144">
        <f t="shared" si="24"/>
        <v>382.454937</v>
      </c>
      <c r="L37" s="144">
        <f>L39+L41+L43+L45</f>
        <v>400.79999999999995</v>
      </c>
      <c r="M37" s="144">
        <f>M39+M41+M43+M45</f>
        <v>446.855906</v>
      </c>
      <c r="N37" s="144"/>
      <c r="O37" s="144"/>
      <c r="P37" s="144"/>
      <c r="Q37" s="144"/>
      <c r="R37" s="144"/>
      <c r="S37" s="144"/>
      <c r="T37" s="144"/>
      <c r="U37" s="144"/>
      <c r="V37" s="301"/>
      <c r="W37" s="288"/>
      <c r="X37" s="213">
        <f>X39+X41+X43+X45</f>
        <v>180.661</v>
      </c>
      <c r="Y37" s="213">
        <f>Y39+Y41+Y43+Y45</f>
        <v>247.11850500000003</v>
      </c>
      <c r="Z37" s="213">
        <f>Z39+Z41+Z43+Z45</f>
        <v>365.68751499999996</v>
      </c>
      <c r="AA37" s="213">
        <f>AA39+AA41+AA43+AA45</f>
        <v>321.92340149999995</v>
      </c>
      <c r="AB37" s="213">
        <v>175.931315</v>
      </c>
      <c r="AC37" s="213">
        <f aca="true" t="shared" si="25" ref="AC37:AH37">AC39+AC41+AC43+AC45</f>
        <v>184.29999999999998</v>
      </c>
      <c r="AD37" s="213">
        <f t="shared" si="25"/>
        <v>190.04699999999997</v>
      </c>
      <c r="AE37" s="213">
        <f t="shared" si="25"/>
        <v>186.7004045</v>
      </c>
      <c r="AF37" s="213">
        <f t="shared" si="25"/>
        <v>192.43244</v>
      </c>
      <c r="AG37" s="213">
        <f t="shared" si="25"/>
        <v>194.79999999999998</v>
      </c>
      <c r="AH37" s="213">
        <f t="shared" si="25"/>
        <v>214.06897050000032</v>
      </c>
      <c r="AI37" s="213"/>
      <c r="AJ37" s="213"/>
      <c r="AK37" s="213"/>
      <c r="AL37" s="213"/>
      <c r="AM37" s="213"/>
      <c r="AN37" s="213"/>
      <c r="AO37" s="213"/>
      <c r="AP37" s="213"/>
      <c r="AQ37" s="388"/>
      <c r="AS37" s="215">
        <f>AS39+AS41+AS45</f>
        <v>186.7</v>
      </c>
      <c r="AT37" s="215">
        <f>AT39+AT41+AT45</f>
        <v>192.48000000000002</v>
      </c>
      <c r="AU37" s="215">
        <f>AU39+AU41+AU45</f>
        <v>194.79999999999998</v>
      </c>
      <c r="AV37" s="215">
        <f>AV39+AV41+AV45</f>
        <v>214.06897049999975</v>
      </c>
      <c r="AW37" s="215"/>
      <c r="AX37" s="215"/>
      <c r="AY37" s="215"/>
      <c r="AZ37" s="215"/>
      <c r="BA37" s="215"/>
      <c r="BB37" s="215"/>
      <c r="BC37" s="215"/>
      <c r="BD37" s="215"/>
      <c r="BE37" s="385"/>
    </row>
    <row r="38" spans="1:57" s="129" customFormat="1" ht="15" hidden="1" outlineLevel="1">
      <c r="A38" s="100" t="s">
        <v>99</v>
      </c>
      <c r="B38" s="100" t="s">
        <v>93</v>
      </c>
      <c r="C38" s="217">
        <f>C40+C42+C44</f>
        <v>179.5</v>
      </c>
      <c r="D38" s="217">
        <f>D40+D42+D44</f>
        <v>191</v>
      </c>
      <c r="E38" s="217">
        <f>E40+E42+E44</f>
        <v>257.2993335</v>
      </c>
      <c r="F38" s="217">
        <f>F40+F42+F44</f>
        <v>272.71403499999997</v>
      </c>
      <c r="G38" s="217">
        <f>G40+G42+G44+G46</f>
        <v>183.28573599999999</v>
      </c>
      <c r="H38" s="217">
        <f>H40+H42+H44+H46</f>
        <v>188.5</v>
      </c>
      <c r="I38" s="217">
        <f>I40+I42+I44+I46</f>
        <v>208.42060500000002</v>
      </c>
      <c r="J38" s="217">
        <f>J40+J42+J44+J46</f>
        <v>202.3983465</v>
      </c>
      <c r="K38" s="217">
        <f>K40+K42+K44+K46</f>
        <v>176.22921</v>
      </c>
      <c r="L38" s="217">
        <f>L40+L42+L44+L46</f>
        <v>206.50000000000003</v>
      </c>
      <c r="M38" s="217">
        <f>M40+M42+M44+M46</f>
        <v>231.88078099999998</v>
      </c>
      <c r="N38" s="217"/>
      <c r="O38" s="217"/>
      <c r="P38" s="217"/>
      <c r="Q38" s="217"/>
      <c r="R38" s="217"/>
      <c r="S38" s="217"/>
      <c r="T38" s="217"/>
      <c r="U38" s="217"/>
      <c r="V38" s="239"/>
      <c r="W38" s="289"/>
      <c r="X38" s="218"/>
      <c r="Y38" s="218"/>
      <c r="Z38" s="218"/>
      <c r="AA38" s="218"/>
      <c r="AB38" s="211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4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6"/>
    </row>
    <row r="39" spans="1:57" ht="15" hidden="1" outlineLevel="1">
      <c r="A39" s="117" t="s">
        <v>73</v>
      </c>
      <c r="B39" s="117" t="s">
        <v>74</v>
      </c>
      <c r="C39" s="222">
        <f aca="true" t="shared" si="26" ref="C39:M39">C154+C197+C250</f>
        <v>97.39</v>
      </c>
      <c r="D39" s="222">
        <f t="shared" si="26"/>
        <v>157.02404</v>
      </c>
      <c r="E39" s="222">
        <f t="shared" si="26"/>
        <v>230.81580000000002</v>
      </c>
      <c r="F39" s="222">
        <f t="shared" si="26"/>
        <v>187.0169</v>
      </c>
      <c r="G39" s="222">
        <f t="shared" si="26"/>
        <v>76.735</v>
      </c>
      <c r="H39" s="222">
        <f t="shared" si="26"/>
        <v>81.7</v>
      </c>
      <c r="I39" s="222">
        <f t="shared" si="26"/>
        <v>77.79</v>
      </c>
      <c r="J39" s="222">
        <f t="shared" si="26"/>
        <v>79.905</v>
      </c>
      <c r="K39" s="222">
        <f t="shared" si="26"/>
        <v>87.86</v>
      </c>
      <c r="L39" s="222">
        <f t="shared" si="26"/>
        <v>82.7</v>
      </c>
      <c r="M39" s="222">
        <f t="shared" si="26"/>
        <v>90.845</v>
      </c>
      <c r="N39" s="222"/>
      <c r="O39" s="222"/>
      <c r="P39" s="222"/>
      <c r="Q39" s="222"/>
      <c r="R39" s="222"/>
      <c r="S39" s="222"/>
      <c r="T39" s="222"/>
      <c r="U39" s="222"/>
      <c r="V39" s="239"/>
      <c r="W39" s="390"/>
      <c r="X39" s="211">
        <f>X154+X197+X250</f>
        <v>20.302000000000003</v>
      </c>
      <c r="Y39" s="211">
        <f>Y154+Y197+Y250</f>
        <v>72.41847</v>
      </c>
      <c r="Z39" s="211">
        <f>Z154+Z197+Z250</f>
        <v>132.716623</v>
      </c>
      <c r="AA39" s="211">
        <f>AA154+AA197+AA250</f>
        <v>84.2302175</v>
      </c>
      <c r="AB39" s="211">
        <v>13.950243</v>
      </c>
      <c r="AC39" s="211">
        <f aca="true" t="shared" si="27" ref="AC39:AH39">AC154+AC197+AC250</f>
        <v>15.100000000000001</v>
      </c>
      <c r="AD39" s="211">
        <f t="shared" si="27"/>
        <v>4.5249999999999995</v>
      </c>
      <c r="AE39" s="211">
        <f t="shared" si="27"/>
        <v>7.2565385000000004</v>
      </c>
      <c r="AF39" s="211">
        <f t="shared" si="27"/>
        <v>20.8</v>
      </c>
      <c r="AG39" s="211">
        <f t="shared" si="27"/>
        <v>12.2</v>
      </c>
      <c r="AH39" s="211">
        <f t="shared" si="27"/>
        <v>7.8727665</v>
      </c>
      <c r="AI39" s="211"/>
      <c r="AJ39" s="211"/>
      <c r="AK39" s="211"/>
      <c r="AL39" s="211"/>
      <c r="AM39" s="211"/>
      <c r="AN39" s="211"/>
      <c r="AO39" s="211"/>
      <c r="AP39" s="211"/>
      <c r="AQ39" s="387"/>
      <c r="AS39" s="224">
        <v>7.3</v>
      </c>
      <c r="AT39" s="224">
        <f>Quarterly!FP37</f>
        <v>20.85</v>
      </c>
      <c r="AU39" s="224">
        <f>Quarterly!FS37</f>
        <v>12.2</v>
      </c>
      <c r="AV39" s="224">
        <f>Quarterly!FV37</f>
        <v>7.8727665</v>
      </c>
      <c r="AW39" s="224"/>
      <c r="AX39" s="224"/>
      <c r="AY39" s="224"/>
      <c r="AZ39" s="224"/>
      <c r="BA39" s="224"/>
      <c r="BB39" s="224"/>
      <c r="BC39" s="224"/>
      <c r="BD39" s="224"/>
      <c r="BE39" s="216"/>
    </row>
    <row r="40" spans="1:57" s="129" customFormat="1" ht="15" hidden="1" outlineLevel="1">
      <c r="A40" s="100" t="s">
        <v>99</v>
      </c>
      <c r="B40" s="100" t="s">
        <v>93</v>
      </c>
      <c r="C40" s="217">
        <f>C155</f>
        <v>77.5</v>
      </c>
      <c r="D40" s="217">
        <f>D155</f>
        <v>82.6</v>
      </c>
      <c r="E40" s="217">
        <f>E155</f>
        <v>97.7563335</v>
      </c>
      <c r="F40" s="217">
        <f>F155</f>
        <v>98.358035</v>
      </c>
      <c r="G40" s="217">
        <f>G155</f>
        <v>65.663636</v>
      </c>
      <c r="H40" s="217">
        <f aca="true" t="shared" si="28" ref="H40:M40">H155</f>
        <v>69.1</v>
      </c>
      <c r="I40" s="217">
        <f t="shared" si="28"/>
        <v>73.568605</v>
      </c>
      <c r="J40" s="217">
        <f t="shared" si="28"/>
        <v>71.8425465</v>
      </c>
      <c r="K40" s="217">
        <f t="shared" si="28"/>
        <v>67.34221000000001</v>
      </c>
      <c r="L40" s="217">
        <f t="shared" si="28"/>
        <v>70.7</v>
      </c>
      <c r="M40" s="217">
        <f t="shared" si="28"/>
        <v>82.348781</v>
      </c>
      <c r="N40" s="217"/>
      <c r="O40" s="217"/>
      <c r="P40" s="217"/>
      <c r="Q40" s="217"/>
      <c r="R40" s="217"/>
      <c r="S40" s="217"/>
      <c r="T40" s="217"/>
      <c r="U40" s="217"/>
      <c r="V40" s="239"/>
      <c r="W40" s="289"/>
      <c r="X40" s="220"/>
      <c r="Y40" s="220"/>
      <c r="Z40" s="220"/>
      <c r="AA40" s="220"/>
      <c r="AB40" s="211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14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16"/>
    </row>
    <row r="41" spans="1:57" ht="15" hidden="1" outlineLevel="1">
      <c r="A41" s="116" t="s">
        <v>128</v>
      </c>
      <c r="B41" s="117" t="s">
        <v>76</v>
      </c>
      <c r="C41" s="222">
        <f aca="true" t="shared" si="29" ref="C41:M41">C156+C199+C252</f>
        <v>141.544</v>
      </c>
      <c r="D41" s="222">
        <f t="shared" si="29"/>
        <v>148.972</v>
      </c>
      <c r="E41" s="222">
        <f t="shared" si="29"/>
        <v>183.91377</v>
      </c>
      <c r="F41" s="222">
        <f t="shared" si="29"/>
        <v>193.302345</v>
      </c>
      <c r="G41" s="222">
        <f t="shared" si="29"/>
        <v>126.14411</v>
      </c>
      <c r="H41" s="222">
        <f t="shared" si="29"/>
        <v>132.3</v>
      </c>
      <c r="I41" s="222">
        <f t="shared" si="29"/>
        <v>144.327725</v>
      </c>
      <c r="J41" s="222">
        <f t="shared" si="29"/>
        <v>139.12221</v>
      </c>
      <c r="K41" s="222">
        <f t="shared" si="29"/>
        <v>130.46218</v>
      </c>
      <c r="L41" s="222">
        <f t="shared" si="29"/>
        <v>143.7</v>
      </c>
      <c r="M41" s="222">
        <f t="shared" si="29"/>
        <v>168.196481</v>
      </c>
      <c r="N41" s="222"/>
      <c r="O41" s="222"/>
      <c r="P41" s="222"/>
      <c r="Q41" s="222"/>
      <c r="R41" s="222"/>
      <c r="S41" s="222"/>
      <c r="T41" s="222"/>
      <c r="U41" s="222"/>
      <c r="V41" s="239"/>
      <c r="W41" s="69"/>
      <c r="X41" s="211">
        <f>X156+X199+X252</f>
        <v>42.261</v>
      </c>
      <c r="Y41" s="211">
        <f>Y156+Y199+Y252</f>
        <v>40.224265</v>
      </c>
      <c r="Z41" s="211">
        <f>Z156+Z199+Z252</f>
        <v>30.37517</v>
      </c>
      <c r="AA41" s="211">
        <f>AA156+AA199+AA252</f>
        <v>18.797185</v>
      </c>
      <c r="AB41" s="211">
        <v>9.65375</v>
      </c>
      <c r="AC41" s="211">
        <f aca="true" t="shared" si="30" ref="AC41:AH41">AC156+AC199+AC252</f>
        <v>13.5</v>
      </c>
      <c r="AD41" s="211">
        <f t="shared" si="30"/>
        <v>10.234</v>
      </c>
      <c r="AE41" s="211">
        <f t="shared" si="30"/>
        <v>9.42627</v>
      </c>
      <c r="AF41" s="211">
        <f t="shared" si="30"/>
        <v>8.07244</v>
      </c>
      <c r="AG41" s="211">
        <f t="shared" si="30"/>
        <v>8.9</v>
      </c>
      <c r="AH41" s="211">
        <f t="shared" si="30"/>
        <v>19.698480999999983</v>
      </c>
      <c r="AI41" s="211"/>
      <c r="AJ41" s="211"/>
      <c r="AK41" s="211"/>
      <c r="AL41" s="211"/>
      <c r="AM41" s="211"/>
      <c r="AN41" s="211"/>
      <c r="AO41" s="211"/>
      <c r="AP41" s="211"/>
      <c r="AQ41" s="387"/>
      <c r="AS41" s="224">
        <v>9.4</v>
      </c>
      <c r="AT41" s="224">
        <f>Quarterly!FP39</f>
        <v>8.07</v>
      </c>
      <c r="AU41" s="224">
        <f>Quarterly!FS39</f>
        <v>8.9</v>
      </c>
      <c r="AV41" s="224">
        <f>Quarterly!FV39</f>
        <v>19.698481</v>
      </c>
      <c r="AW41" s="224"/>
      <c r="AX41" s="224"/>
      <c r="AY41" s="224"/>
      <c r="AZ41" s="224"/>
      <c r="BA41" s="224"/>
      <c r="BB41" s="224"/>
      <c r="BC41" s="224"/>
      <c r="BD41" s="224"/>
      <c r="BE41" s="216"/>
    </row>
    <row r="42" spans="1:57" s="129" customFormat="1" ht="15" hidden="1" outlineLevel="1">
      <c r="A42" s="100" t="s">
        <v>99</v>
      </c>
      <c r="B42" s="100" t="s">
        <v>93</v>
      </c>
      <c r="C42" s="217">
        <f>C157</f>
        <v>102</v>
      </c>
      <c r="D42" s="217">
        <f>D157</f>
        <v>108.4</v>
      </c>
      <c r="E42" s="217">
        <f>E157</f>
        <v>153.849</v>
      </c>
      <c r="F42" s="217">
        <f>F157</f>
        <v>174.356</v>
      </c>
      <c r="G42" s="217">
        <f>G157</f>
        <v>116.741</v>
      </c>
      <c r="H42" s="217">
        <f aca="true" t="shared" si="31" ref="H42:M42">H157</f>
        <v>118.7</v>
      </c>
      <c r="I42" s="217">
        <f t="shared" si="31"/>
        <v>134.05200000000002</v>
      </c>
      <c r="J42" s="217">
        <f t="shared" si="31"/>
        <v>129.654</v>
      </c>
      <c r="K42" s="217">
        <f t="shared" si="31"/>
        <v>107.806</v>
      </c>
      <c r="L42" s="217">
        <f t="shared" si="31"/>
        <v>134.9</v>
      </c>
      <c r="M42" s="217">
        <f t="shared" si="31"/>
        <v>148.498</v>
      </c>
      <c r="N42" s="217"/>
      <c r="O42" s="217"/>
      <c r="P42" s="217"/>
      <c r="Q42" s="217"/>
      <c r="R42" s="217"/>
      <c r="S42" s="217"/>
      <c r="T42" s="217"/>
      <c r="U42" s="217"/>
      <c r="V42" s="239"/>
      <c r="W42" s="289"/>
      <c r="X42" s="220"/>
      <c r="Y42" s="220"/>
      <c r="Z42" s="220"/>
      <c r="AA42" s="220"/>
      <c r="AB42" s="211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14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16"/>
    </row>
    <row r="43" spans="1:57" ht="30" hidden="1" outlineLevel="1">
      <c r="A43" s="117" t="s">
        <v>77</v>
      </c>
      <c r="B43" s="117" t="s">
        <v>78</v>
      </c>
      <c r="C43" s="222">
        <f aca="true" t="shared" si="32" ref="C43:M43">C158+C201+C254</f>
        <v>0</v>
      </c>
      <c r="D43" s="222">
        <f t="shared" si="32"/>
        <v>3.391</v>
      </c>
      <c r="E43" s="222">
        <f t="shared" si="32"/>
        <v>5.694</v>
      </c>
      <c r="F43" s="222">
        <f t="shared" si="32"/>
        <v>0</v>
      </c>
      <c r="G43" s="222">
        <f t="shared" si="32"/>
        <v>0</v>
      </c>
      <c r="H43" s="222">
        <f t="shared" si="32"/>
        <v>0</v>
      </c>
      <c r="I43" s="222">
        <f t="shared" si="32"/>
        <v>0</v>
      </c>
      <c r="J43" s="222">
        <f t="shared" si="32"/>
        <v>0</v>
      </c>
      <c r="K43" s="222">
        <f t="shared" si="32"/>
        <v>0</v>
      </c>
      <c r="L43" s="222">
        <f t="shared" si="32"/>
        <v>0</v>
      </c>
      <c r="M43" s="222">
        <f t="shared" si="32"/>
        <v>0</v>
      </c>
      <c r="N43" s="222"/>
      <c r="O43" s="222"/>
      <c r="P43" s="222"/>
      <c r="Q43" s="222"/>
      <c r="R43" s="222"/>
      <c r="S43" s="222"/>
      <c r="T43" s="222"/>
      <c r="U43" s="222"/>
      <c r="V43" s="239"/>
      <c r="W43" s="390"/>
      <c r="X43" s="211">
        <f>X158+X201+X254</f>
        <v>0</v>
      </c>
      <c r="Y43" s="211">
        <f>Y158+Y201+Y254</f>
        <v>1.03734</v>
      </c>
      <c r="Z43" s="211">
        <f>Z158+Z201+Z254</f>
        <v>0</v>
      </c>
      <c r="AA43" s="211">
        <f>AA158+AA201+AA254</f>
        <v>0</v>
      </c>
      <c r="AB43" s="211">
        <v>0</v>
      </c>
      <c r="AC43" s="211">
        <f aca="true" t="shared" si="33" ref="AC43:AH43">AC158+AC201+AC254</f>
        <v>0</v>
      </c>
      <c r="AD43" s="211">
        <f t="shared" si="33"/>
        <v>0</v>
      </c>
      <c r="AE43" s="211">
        <f t="shared" si="33"/>
        <v>0</v>
      </c>
      <c r="AF43" s="211">
        <f t="shared" si="33"/>
        <v>0</v>
      </c>
      <c r="AG43" s="211">
        <f t="shared" si="33"/>
        <v>0</v>
      </c>
      <c r="AH43" s="211">
        <f t="shared" si="33"/>
        <v>0</v>
      </c>
      <c r="AI43" s="211"/>
      <c r="AJ43" s="211"/>
      <c r="AK43" s="211"/>
      <c r="AL43" s="211"/>
      <c r="AM43" s="211"/>
      <c r="AN43" s="211"/>
      <c r="AO43" s="211"/>
      <c r="AP43" s="211"/>
      <c r="AQ43" s="21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16"/>
    </row>
    <row r="44" spans="1:57" s="129" customFormat="1" ht="15" hidden="1" outlineLevel="1">
      <c r="A44" s="100" t="s">
        <v>99</v>
      </c>
      <c r="B44" s="100" t="s">
        <v>93</v>
      </c>
      <c r="C44" s="217">
        <f>C159</f>
        <v>0</v>
      </c>
      <c r="D44" s="217">
        <f>D159</f>
        <v>0</v>
      </c>
      <c r="E44" s="217">
        <f>E159</f>
        <v>5.694</v>
      </c>
      <c r="F44" s="217">
        <f>F159</f>
        <v>0</v>
      </c>
      <c r="G44" s="217">
        <f>G159</f>
        <v>0</v>
      </c>
      <c r="H44" s="217">
        <f aca="true" t="shared" si="34" ref="H44:M44">H159</f>
        <v>0</v>
      </c>
      <c r="I44" s="217">
        <f t="shared" si="34"/>
        <v>0</v>
      </c>
      <c r="J44" s="217">
        <f t="shared" si="34"/>
        <v>0</v>
      </c>
      <c r="K44" s="217">
        <f t="shared" si="34"/>
        <v>0</v>
      </c>
      <c r="L44" s="217">
        <f t="shared" si="34"/>
        <v>0</v>
      </c>
      <c r="M44" s="217">
        <f t="shared" si="34"/>
        <v>0</v>
      </c>
      <c r="N44" s="217"/>
      <c r="O44" s="217"/>
      <c r="P44" s="217"/>
      <c r="Q44" s="217"/>
      <c r="R44" s="217"/>
      <c r="S44" s="217"/>
      <c r="T44" s="217"/>
      <c r="U44" s="217"/>
      <c r="V44" s="239"/>
      <c r="W44" s="289"/>
      <c r="X44" s="220"/>
      <c r="Y44" s="220"/>
      <c r="Z44" s="220"/>
      <c r="AA44" s="220"/>
      <c r="AB44" s="211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14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16"/>
    </row>
    <row r="45" spans="1:57" ht="30" hidden="1" outlineLevel="1">
      <c r="A45" s="116" t="s">
        <v>132</v>
      </c>
      <c r="B45" s="116" t="s">
        <v>129</v>
      </c>
      <c r="C45" s="222">
        <f aca="true" t="shared" si="35" ref="C45:M45">C160+C203+C256</f>
        <v>120.148</v>
      </c>
      <c r="D45" s="222">
        <f t="shared" si="35"/>
        <v>134.863</v>
      </c>
      <c r="E45" s="222">
        <f t="shared" si="35"/>
        <v>202.977972</v>
      </c>
      <c r="F45" s="222">
        <f t="shared" si="35"/>
        <v>220.591159</v>
      </c>
      <c r="G45" s="222">
        <f t="shared" si="35"/>
        <v>152.485842</v>
      </c>
      <c r="H45" s="222">
        <f t="shared" si="35"/>
        <v>157</v>
      </c>
      <c r="I45" s="222">
        <f t="shared" si="35"/>
        <v>176.5</v>
      </c>
      <c r="J45" s="222">
        <f t="shared" si="35"/>
        <v>170.182136</v>
      </c>
      <c r="K45" s="222">
        <f t="shared" si="35"/>
        <v>164.132757</v>
      </c>
      <c r="L45" s="222">
        <f t="shared" si="35"/>
        <v>174.4</v>
      </c>
      <c r="M45" s="222">
        <f t="shared" si="35"/>
        <v>187.814425</v>
      </c>
      <c r="N45" s="222"/>
      <c r="O45" s="222"/>
      <c r="P45" s="222"/>
      <c r="Q45" s="222"/>
      <c r="R45" s="222"/>
      <c r="S45" s="222"/>
      <c r="T45" s="222"/>
      <c r="U45" s="222"/>
      <c r="V45" s="239"/>
      <c r="W45" s="390"/>
      <c r="X45" s="211">
        <f>X160+X203+X256</f>
        <v>118.098</v>
      </c>
      <c r="Y45" s="211">
        <f>Y160+Y203+Y256</f>
        <v>133.43843</v>
      </c>
      <c r="Z45" s="211">
        <f>Z160+Z203+Z256</f>
        <v>202.595722</v>
      </c>
      <c r="AA45" s="211">
        <f>AA160+AA203+AA256</f>
        <v>218.895999</v>
      </c>
      <c r="AB45" s="211">
        <v>152.327322</v>
      </c>
      <c r="AC45" s="211">
        <f aca="true" t="shared" si="36" ref="AC45:AH45">AC160+AC203+AC256</f>
        <v>155.7</v>
      </c>
      <c r="AD45" s="211">
        <f t="shared" si="36"/>
        <v>175.28799999999998</v>
      </c>
      <c r="AE45" s="211">
        <f t="shared" si="36"/>
        <v>170.017596</v>
      </c>
      <c r="AF45" s="211">
        <f t="shared" si="36"/>
        <v>163.56</v>
      </c>
      <c r="AG45" s="211">
        <f t="shared" si="36"/>
        <v>173.7</v>
      </c>
      <c r="AH45" s="211">
        <f t="shared" si="36"/>
        <v>186.49772300000032</v>
      </c>
      <c r="AI45" s="211"/>
      <c r="AJ45" s="211"/>
      <c r="AK45" s="211"/>
      <c r="AL45" s="211"/>
      <c r="AM45" s="211"/>
      <c r="AN45" s="211"/>
      <c r="AO45" s="211"/>
      <c r="AP45" s="211"/>
      <c r="AQ45" s="387"/>
      <c r="AS45" s="224">
        <v>170</v>
      </c>
      <c r="AT45" s="224">
        <f>Quarterly!FP43</f>
        <v>163.56</v>
      </c>
      <c r="AU45" s="224">
        <f>Quarterly!FS43</f>
        <v>173.7</v>
      </c>
      <c r="AV45" s="224">
        <f>Quarterly!FV43</f>
        <v>186.49772299999975</v>
      </c>
      <c r="AW45" s="224"/>
      <c r="AX45" s="224"/>
      <c r="AY45" s="224"/>
      <c r="AZ45" s="224"/>
      <c r="BA45" s="224"/>
      <c r="BB45" s="224"/>
      <c r="BC45" s="224"/>
      <c r="BD45" s="224"/>
      <c r="BE45" s="216"/>
    </row>
    <row r="46" spans="1:57" s="129" customFormat="1" ht="15" hidden="1" outlineLevel="1">
      <c r="A46" s="100" t="s">
        <v>99</v>
      </c>
      <c r="B46" s="100" t="s">
        <v>93</v>
      </c>
      <c r="C46" s="217">
        <f aca="true" t="shared" si="37" ref="C46:M46">C161</f>
        <v>0</v>
      </c>
      <c r="D46" s="217">
        <f t="shared" si="37"/>
        <v>0</v>
      </c>
      <c r="E46" s="217">
        <f t="shared" si="37"/>
        <v>0</v>
      </c>
      <c r="F46" s="217">
        <f t="shared" si="37"/>
        <v>0</v>
      </c>
      <c r="G46" s="217">
        <f t="shared" si="37"/>
        <v>0.8811</v>
      </c>
      <c r="H46" s="217">
        <f t="shared" si="37"/>
        <v>0.7</v>
      </c>
      <c r="I46" s="217">
        <f t="shared" si="37"/>
        <v>0.8</v>
      </c>
      <c r="J46" s="217">
        <f t="shared" si="37"/>
        <v>0.9018</v>
      </c>
      <c r="K46" s="217">
        <f t="shared" si="37"/>
        <v>1.081</v>
      </c>
      <c r="L46" s="217">
        <f t="shared" si="37"/>
        <v>0.9</v>
      </c>
      <c r="M46" s="217">
        <f t="shared" si="37"/>
        <v>1.034</v>
      </c>
      <c r="N46" s="217"/>
      <c r="O46" s="217"/>
      <c r="P46" s="217"/>
      <c r="Q46" s="217"/>
      <c r="R46" s="217"/>
      <c r="S46" s="217"/>
      <c r="T46" s="217"/>
      <c r="U46" s="217"/>
      <c r="V46" s="239"/>
      <c r="W46" s="289"/>
      <c r="X46" s="220"/>
      <c r="Y46" s="220"/>
      <c r="Z46" s="220"/>
      <c r="AA46" s="220"/>
      <c r="AB46" s="211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14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16"/>
    </row>
    <row r="47" spans="1:57" ht="30.75" hidden="1" outlineLevel="1">
      <c r="A47" s="70" t="s">
        <v>127</v>
      </c>
      <c r="B47" s="70" t="s">
        <v>130</v>
      </c>
      <c r="C47" s="144">
        <f aca="true" t="shared" si="38" ref="C47:K47">C48+C49+C50+C51+C53</f>
        <v>686.81398</v>
      </c>
      <c r="D47" s="144">
        <f t="shared" si="38"/>
        <v>790.98645</v>
      </c>
      <c r="E47" s="144">
        <f t="shared" si="38"/>
        <v>912.59340558</v>
      </c>
      <c r="F47" s="144">
        <f t="shared" si="38"/>
        <v>866.09305693</v>
      </c>
      <c r="G47" s="144">
        <f>G48+G49+G50+G51+G53</f>
        <v>725.9217359999999</v>
      </c>
      <c r="H47" s="144">
        <f t="shared" si="38"/>
        <v>750.3427812</v>
      </c>
      <c r="I47" s="144">
        <f t="shared" si="38"/>
        <v>821.4543355</v>
      </c>
      <c r="J47" s="144">
        <f t="shared" si="38"/>
        <v>742.5412140999999</v>
      </c>
      <c r="K47" s="144">
        <f t="shared" si="38"/>
        <v>670.9785701000001</v>
      </c>
      <c r="L47" s="144">
        <f>L48+L49+L50+L51+L53</f>
        <v>808.3000000000001</v>
      </c>
      <c r="M47" s="144">
        <f>M48+M49+M50+M51+M53</f>
        <v>839.9536872999961</v>
      </c>
      <c r="N47" s="144"/>
      <c r="O47" s="144"/>
      <c r="P47" s="144"/>
      <c r="Q47" s="144"/>
      <c r="R47" s="144"/>
      <c r="S47" s="144"/>
      <c r="T47" s="144"/>
      <c r="U47" s="144"/>
      <c r="V47" s="301"/>
      <c r="W47" s="288"/>
      <c r="X47" s="213">
        <f>X48+X49+X50+X51+X53</f>
        <v>682.94373</v>
      </c>
      <c r="Y47" s="213">
        <f>Y48+Y49+Y50+Y51+Y53</f>
        <v>785.7213399999999</v>
      </c>
      <c r="Z47" s="213">
        <f>Z48+Z49+Z50+Z51+Z53</f>
        <v>916.6333411</v>
      </c>
      <c r="AA47" s="213">
        <f>AA48+AA49+AA50+AA51+AA53</f>
        <v>865.7843097</v>
      </c>
      <c r="AB47" s="213">
        <v>727.6766665</v>
      </c>
      <c r="AC47" s="213">
        <f aca="true" t="shared" si="39" ref="AC47:AH47">AC48+AC49+AC50+AC51+AC53</f>
        <v>748.0000000000001</v>
      </c>
      <c r="AD47" s="213">
        <f t="shared" si="39"/>
        <v>823.5179999999999</v>
      </c>
      <c r="AE47" s="213">
        <f t="shared" si="39"/>
        <v>740.46437118</v>
      </c>
      <c r="AF47" s="213">
        <f t="shared" si="39"/>
        <v>669.1055269999999</v>
      </c>
      <c r="AG47" s="213">
        <f t="shared" si="39"/>
        <v>803.7000000000002</v>
      </c>
      <c r="AH47" s="213">
        <f t="shared" si="39"/>
        <v>848.1982183999961</v>
      </c>
      <c r="AI47" s="213"/>
      <c r="AJ47" s="213"/>
      <c r="AK47" s="213"/>
      <c r="AL47" s="213"/>
      <c r="AM47" s="213"/>
      <c r="AN47" s="213"/>
      <c r="AO47" s="213"/>
      <c r="AP47" s="213"/>
      <c r="AQ47" s="388"/>
      <c r="AS47" s="215">
        <f>AS48+AS49+AS50+AS51+AS53</f>
        <v>773.6000000000001</v>
      </c>
      <c r="AT47" s="215">
        <f>AT48+AT49+AT50+AT51+AT53</f>
        <v>706.8</v>
      </c>
      <c r="AU47" s="215">
        <f>AU48+AU49+AU50+AU51+AU53</f>
        <v>781.6</v>
      </c>
      <c r="AV47" s="215">
        <f>AV48+AV49+AV50+AV51+AV53</f>
        <v>827.4480693999973</v>
      </c>
      <c r="AW47" s="215"/>
      <c r="AX47" s="215"/>
      <c r="AY47" s="215"/>
      <c r="AZ47" s="215"/>
      <c r="BA47" s="215"/>
      <c r="BB47" s="215"/>
      <c r="BC47" s="215"/>
      <c r="BD47" s="215"/>
      <c r="BE47" s="385"/>
    </row>
    <row r="48" spans="1:57" ht="30" hidden="1" outlineLevel="1">
      <c r="A48" s="130" t="s">
        <v>131</v>
      </c>
      <c r="B48" s="131" t="s">
        <v>82</v>
      </c>
      <c r="C48" s="222">
        <f aca="true" t="shared" si="40" ref="C48:M48">C164+C206+C259</f>
        <v>185.951</v>
      </c>
      <c r="D48" s="222">
        <f t="shared" si="40"/>
        <v>179.511</v>
      </c>
      <c r="E48" s="222">
        <f t="shared" si="40"/>
        <v>188.90367500000002</v>
      </c>
      <c r="F48" s="222">
        <f t="shared" si="40"/>
        <v>272.47847</v>
      </c>
      <c r="G48" s="222">
        <f t="shared" si="40"/>
        <v>176.61390500000002</v>
      </c>
      <c r="H48" s="222">
        <f t="shared" si="40"/>
        <v>180.54228999999998</v>
      </c>
      <c r="I48" s="222">
        <f t="shared" si="40"/>
        <v>247.64100900000003</v>
      </c>
      <c r="J48" s="222">
        <f t="shared" si="40"/>
        <v>241.88</v>
      </c>
      <c r="K48" s="222">
        <f t="shared" si="40"/>
        <v>226.9374</v>
      </c>
      <c r="L48" s="222">
        <f t="shared" si="40"/>
        <v>230.2</v>
      </c>
      <c r="M48" s="222">
        <f t="shared" si="40"/>
        <v>265.932095</v>
      </c>
      <c r="N48" s="222"/>
      <c r="O48" s="222"/>
      <c r="P48" s="222"/>
      <c r="Q48" s="222"/>
      <c r="R48" s="222"/>
      <c r="S48" s="222"/>
      <c r="T48" s="222"/>
      <c r="U48" s="222"/>
      <c r="V48" s="239"/>
      <c r="W48" s="69"/>
      <c r="X48" s="211">
        <f>X164+X206+X259</f>
        <v>183.19899999999998</v>
      </c>
      <c r="Y48" s="211">
        <f>Y164+Y206+Y259</f>
        <v>176.4258</v>
      </c>
      <c r="Z48" s="211">
        <f>Z164+Z206+Z259</f>
        <v>194.303075</v>
      </c>
      <c r="AA48" s="211">
        <f>AA164+AA206+AA259</f>
        <v>269.271075</v>
      </c>
      <c r="AB48" s="211">
        <v>180.287905</v>
      </c>
      <c r="AC48" s="211">
        <f aca="true" t="shared" si="41" ref="AC48:AH48">AC164+AC206+AC259</f>
        <v>180.6</v>
      </c>
      <c r="AD48" s="211">
        <f t="shared" si="41"/>
        <v>247.46800000000002</v>
      </c>
      <c r="AE48" s="211">
        <f t="shared" si="41"/>
        <v>241.627505</v>
      </c>
      <c r="AF48" s="211">
        <f t="shared" si="41"/>
        <v>224.033605</v>
      </c>
      <c r="AG48" s="211">
        <f t="shared" si="41"/>
        <v>227.9</v>
      </c>
      <c r="AH48" s="211">
        <f t="shared" si="41"/>
        <v>269.8821</v>
      </c>
      <c r="AI48" s="211"/>
      <c r="AJ48" s="211"/>
      <c r="AK48" s="211"/>
      <c r="AL48" s="211"/>
      <c r="AM48" s="211"/>
      <c r="AN48" s="211"/>
      <c r="AO48" s="211"/>
      <c r="AP48" s="211"/>
      <c r="AQ48" s="387"/>
      <c r="AS48" s="224">
        <v>272.8</v>
      </c>
      <c r="AT48" s="224">
        <f>Quarterly!FP46</f>
        <v>262.3</v>
      </c>
      <c r="AU48" s="224">
        <f>Quarterly!FS46</f>
        <v>207.7</v>
      </c>
      <c r="AV48" s="224">
        <f>Quarterly!FV46</f>
        <v>249.15932500000002</v>
      </c>
      <c r="AW48" s="224"/>
      <c r="AX48" s="224"/>
      <c r="AY48" s="224"/>
      <c r="AZ48" s="224"/>
      <c r="BA48" s="224"/>
      <c r="BB48" s="224"/>
      <c r="BC48" s="224"/>
      <c r="BD48" s="224"/>
      <c r="BE48" s="216"/>
    </row>
    <row r="49" spans="1:57" ht="15" hidden="1" outlineLevel="1">
      <c r="A49" s="117" t="s">
        <v>83</v>
      </c>
      <c r="B49" s="117" t="s">
        <v>19</v>
      </c>
      <c r="C49" s="222">
        <f aca="true" t="shared" si="42" ref="C49:M49">C167+C207+C260</f>
        <v>301.394</v>
      </c>
      <c r="D49" s="222">
        <f t="shared" si="42"/>
        <v>415.5221</v>
      </c>
      <c r="E49" s="222">
        <f t="shared" si="42"/>
        <v>502.75122999999996</v>
      </c>
      <c r="F49" s="222">
        <f t="shared" si="42"/>
        <v>449.012145</v>
      </c>
      <c r="G49" s="222">
        <f t="shared" si="42"/>
        <v>409.23609999999996</v>
      </c>
      <c r="H49" s="222">
        <f t="shared" si="42"/>
        <v>356.58119</v>
      </c>
      <c r="I49" s="222">
        <f t="shared" si="42"/>
        <v>364.79299999999995</v>
      </c>
      <c r="J49" s="222">
        <f t="shared" si="42"/>
        <v>304.09999999999997</v>
      </c>
      <c r="K49" s="222">
        <f t="shared" si="42"/>
        <v>252.515955</v>
      </c>
      <c r="L49" s="222">
        <f t="shared" si="42"/>
        <v>382.90000000000003</v>
      </c>
      <c r="M49" s="222">
        <f t="shared" si="42"/>
        <v>404.52449999999607</v>
      </c>
      <c r="N49" s="222"/>
      <c r="O49" s="222"/>
      <c r="P49" s="222"/>
      <c r="Q49" s="222"/>
      <c r="R49" s="222"/>
      <c r="S49" s="222"/>
      <c r="T49" s="222"/>
      <c r="U49" s="222"/>
      <c r="V49" s="239"/>
      <c r="W49" s="69"/>
      <c r="X49" s="211">
        <f aca="true" t="shared" si="43" ref="X49:AA50">X167+X207+X260</f>
        <v>301.394</v>
      </c>
      <c r="Y49" s="211">
        <f t="shared" si="43"/>
        <v>415.5221</v>
      </c>
      <c r="Z49" s="211">
        <f t="shared" si="43"/>
        <v>502.75122999999996</v>
      </c>
      <c r="AA49" s="211">
        <f t="shared" si="43"/>
        <v>449.012145</v>
      </c>
      <c r="AB49" s="211">
        <v>409.23609999999996</v>
      </c>
      <c r="AC49" s="211">
        <f aca="true" t="shared" si="44" ref="AC49:AH50">AC167+AC207+AC260</f>
        <v>356.5</v>
      </c>
      <c r="AD49" s="211">
        <f t="shared" si="44"/>
        <v>364.79299999999995</v>
      </c>
      <c r="AE49" s="211">
        <f t="shared" si="44"/>
        <v>304.09999999999997</v>
      </c>
      <c r="AF49" s="211">
        <f t="shared" si="44"/>
        <v>252.49551499999998</v>
      </c>
      <c r="AG49" s="211">
        <f t="shared" si="44"/>
        <v>382.90000000000003</v>
      </c>
      <c r="AH49" s="211">
        <f t="shared" si="44"/>
        <v>404.52449999999607</v>
      </c>
      <c r="AI49" s="211"/>
      <c r="AJ49" s="211"/>
      <c r="AK49" s="211"/>
      <c r="AL49" s="211"/>
      <c r="AM49" s="211"/>
      <c r="AN49" s="211"/>
      <c r="AO49" s="211"/>
      <c r="AP49" s="211"/>
      <c r="AQ49" s="387"/>
      <c r="AS49" s="224">
        <v>304.1</v>
      </c>
      <c r="AT49" s="224">
        <f>Quarterly!FP47</f>
        <v>252.5</v>
      </c>
      <c r="AU49" s="224">
        <f>Quarterly!FS47</f>
        <v>383</v>
      </c>
      <c r="AV49" s="224">
        <f>Quarterly!FV47</f>
        <v>404.5452899999971</v>
      </c>
      <c r="AW49" s="224"/>
      <c r="AX49" s="224"/>
      <c r="AY49" s="224"/>
      <c r="AZ49" s="224"/>
      <c r="BA49" s="224"/>
      <c r="BB49" s="224"/>
      <c r="BC49" s="224"/>
      <c r="BD49" s="224"/>
      <c r="BE49" s="216"/>
    </row>
    <row r="50" spans="1:57" ht="15" hidden="1" outlineLevel="1">
      <c r="A50" s="117" t="s">
        <v>84</v>
      </c>
      <c r="B50" s="117" t="s">
        <v>85</v>
      </c>
      <c r="C50" s="222">
        <f aca="true" t="shared" si="45" ref="C50:M50">C168+C208+C261</f>
        <v>54.754999999999995</v>
      </c>
      <c r="D50" s="222">
        <f t="shared" si="45"/>
        <v>54.735</v>
      </c>
      <c r="E50" s="222">
        <f t="shared" si="45"/>
        <v>57.351956</v>
      </c>
      <c r="F50" s="222">
        <f t="shared" si="45"/>
        <v>45.41587</v>
      </c>
      <c r="G50" s="222">
        <f t="shared" si="45"/>
        <v>41.250969</v>
      </c>
      <c r="H50" s="222">
        <f t="shared" si="45"/>
        <v>46.536877000000004</v>
      </c>
      <c r="I50" s="222">
        <f t="shared" si="45"/>
        <v>55.746626000000006</v>
      </c>
      <c r="J50" s="222">
        <f t="shared" si="45"/>
        <v>55.679869999999994</v>
      </c>
      <c r="K50" s="222">
        <f t="shared" si="45"/>
        <v>55.8404</v>
      </c>
      <c r="L50" s="222">
        <f t="shared" si="45"/>
        <v>52.599999999999994</v>
      </c>
      <c r="M50" s="222">
        <f t="shared" si="45"/>
        <v>56.594271</v>
      </c>
      <c r="N50" s="222"/>
      <c r="O50" s="222"/>
      <c r="P50" s="222"/>
      <c r="Q50" s="222"/>
      <c r="R50" s="222"/>
      <c r="S50" s="222"/>
      <c r="T50" s="222"/>
      <c r="U50" s="222"/>
      <c r="V50" s="239"/>
      <c r="W50" s="69"/>
      <c r="X50" s="211">
        <f t="shared" si="43"/>
        <v>54.876</v>
      </c>
      <c r="Y50" s="211">
        <f t="shared" si="43"/>
        <v>54.68327</v>
      </c>
      <c r="Z50" s="211">
        <f t="shared" si="43"/>
        <v>57.194153</v>
      </c>
      <c r="AA50" s="211">
        <f t="shared" si="43"/>
        <v>45.315758</v>
      </c>
      <c r="AB50" s="211">
        <v>41.269465000000004</v>
      </c>
      <c r="AC50" s="211">
        <f t="shared" si="44"/>
        <v>46.6</v>
      </c>
      <c r="AD50" s="211">
        <f t="shared" si="44"/>
        <v>55.973</v>
      </c>
      <c r="AE50" s="211">
        <f t="shared" si="44"/>
        <v>55.78357</v>
      </c>
      <c r="AF50" s="211">
        <f t="shared" si="44"/>
        <v>55.632014999999996</v>
      </c>
      <c r="AG50" s="211">
        <f t="shared" si="44"/>
        <v>52.6</v>
      </c>
      <c r="AH50" s="211">
        <f t="shared" si="44"/>
        <v>56.74274599999998</v>
      </c>
      <c r="AI50" s="211"/>
      <c r="AJ50" s="211"/>
      <c r="AK50" s="211"/>
      <c r="AL50" s="211"/>
      <c r="AM50" s="211"/>
      <c r="AN50" s="211"/>
      <c r="AO50" s="211"/>
      <c r="AP50" s="211"/>
      <c r="AQ50" s="387"/>
      <c r="AS50" s="224">
        <v>55.5</v>
      </c>
      <c r="AT50" s="224">
        <f>Quarterly!FP48</f>
        <v>55.6</v>
      </c>
      <c r="AU50" s="224">
        <f>Quarterly!FS48</f>
        <v>52.3</v>
      </c>
      <c r="AV50" s="224">
        <f>Quarterly!FV48</f>
        <v>56.72326200000005</v>
      </c>
      <c r="AW50" s="224"/>
      <c r="AX50" s="224"/>
      <c r="AY50" s="224"/>
      <c r="AZ50" s="224"/>
      <c r="BA50" s="224"/>
      <c r="BB50" s="224"/>
      <c r="BC50" s="224"/>
      <c r="BD50" s="224"/>
      <c r="BE50" s="216"/>
    </row>
    <row r="51" spans="1:57" ht="15" hidden="1" outlineLevel="1">
      <c r="A51" s="117" t="s">
        <v>86</v>
      </c>
      <c r="B51" s="117" t="s">
        <v>87</v>
      </c>
      <c r="C51" s="222">
        <f aca="true" t="shared" si="46" ref="C51:M51">C170+C209+C262</f>
        <v>6.588</v>
      </c>
      <c r="D51" s="222">
        <f t="shared" si="46"/>
        <v>6.375</v>
      </c>
      <c r="E51" s="222">
        <f t="shared" si="46"/>
        <v>6.834144580000001</v>
      </c>
      <c r="F51" s="222">
        <f t="shared" si="46"/>
        <v>6.49177193</v>
      </c>
      <c r="G51" s="222">
        <f t="shared" si="46"/>
        <v>5.901762</v>
      </c>
      <c r="H51" s="222">
        <f t="shared" si="46"/>
        <v>6.6779162</v>
      </c>
      <c r="I51" s="222">
        <f t="shared" si="46"/>
        <v>7.2297005</v>
      </c>
      <c r="J51" s="222">
        <f t="shared" si="46"/>
        <v>7.0003441</v>
      </c>
      <c r="K51" s="222">
        <f t="shared" si="46"/>
        <v>6.5358151</v>
      </c>
      <c r="L51" s="222">
        <f t="shared" si="46"/>
        <v>6.6</v>
      </c>
      <c r="M51" s="222">
        <f t="shared" si="46"/>
        <v>5.8458213</v>
      </c>
      <c r="N51" s="222"/>
      <c r="O51" s="222"/>
      <c r="P51" s="222"/>
      <c r="Q51" s="222"/>
      <c r="R51" s="222"/>
      <c r="S51" s="222"/>
      <c r="T51" s="222"/>
      <c r="U51" s="222"/>
      <c r="V51" s="239"/>
      <c r="W51" s="69"/>
      <c r="X51" s="211">
        <f>X170+X209+X262</f>
        <v>6.604</v>
      </c>
      <c r="Y51" s="211">
        <f>Y170+Y209+Y262</f>
        <v>6.4</v>
      </c>
      <c r="Z51" s="211">
        <f>Z170+Z209+Z262</f>
        <v>6.7906831</v>
      </c>
      <c r="AA51" s="211">
        <f>AA170+AA209+AA262</f>
        <v>6.4517317</v>
      </c>
      <c r="AB51" s="211">
        <v>5.9091965</v>
      </c>
      <c r="AC51" s="211">
        <f aca="true" t="shared" si="47" ref="AC51:AH51">AC170+AC209+AC262</f>
        <v>6.7</v>
      </c>
      <c r="AD51" s="211">
        <f t="shared" si="47"/>
        <v>7.259</v>
      </c>
      <c r="AE51" s="211">
        <f t="shared" si="47"/>
        <v>6.99429618</v>
      </c>
      <c r="AF51" s="211">
        <f t="shared" si="47"/>
        <v>6.444392000000001</v>
      </c>
      <c r="AG51" s="211">
        <f t="shared" si="47"/>
        <v>6.7</v>
      </c>
      <c r="AH51" s="211">
        <f t="shared" si="47"/>
        <v>5.756872399999999</v>
      </c>
      <c r="AI51" s="211"/>
      <c r="AJ51" s="211"/>
      <c r="AK51" s="211"/>
      <c r="AL51" s="211"/>
      <c r="AM51" s="211"/>
      <c r="AN51" s="211"/>
      <c r="AO51" s="211"/>
      <c r="AP51" s="211"/>
      <c r="AQ51" s="387"/>
      <c r="AS51" s="224">
        <v>7</v>
      </c>
      <c r="AT51" s="224">
        <f>Quarterly!FP49</f>
        <v>6.4</v>
      </c>
      <c r="AU51" s="224">
        <f>Quarterly!FS49</f>
        <v>6.6</v>
      </c>
      <c r="AV51" s="224">
        <f>Quarterly!FV49</f>
        <v>5.727832399999995</v>
      </c>
      <c r="AW51" s="224"/>
      <c r="AX51" s="224"/>
      <c r="AY51" s="224"/>
      <c r="AZ51" s="224"/>
      <c r="BA51" s="224"/>
      <c r="BB51" s="224"/>
      <c r="BC51" s="224"/>
      <c r="BD51" s="224"/>
      <c r="BE51" s="216"/>
    </row>
    <row r="52" spans="1:57" s="129" customFormat="1" ht="15" hidden="1" outlineLevel="1">
      <c r="A52" s="100" t="s">
        <v>99</v>
      </c>
      <c r="B52" s="99" t="s">
        <v>93</v>
      </c>
      <c r="C52" s="217">
        <f aca="true" t="shared" si="48" ref="C52:M52">C171+C210+C263</f>
        <v>0</v>
      </c>
      <c r="D52" s="217">
        <f t="shared" si="48"/>
        <v>0</v>
      </c>
      <c r="E52" s="217">
        <f t="shared" si="48"/>
        <v>0.0106787</v>
      </c>
      <c r="F52" s="217">
        <f t="shared" si="48"/>
        <v>0.0099831</v>
      </c>
      <c r="G52" s="217">
        <f t="shared" si="48"/>
        <v>0.005133</v>
      </c>
      <c r="H52" s="217">
        <f t="shared" si="48"/>
        <v>0.004508</v>
      </c>
      <c r="I52" s="217">
        <f t="shared" si="48"/>
        <v>0</v>
      </c>
      <c r="J52" s="227">
        <f t="shared" si="48"/>
        <v>0</v>
      </c>
      <c r="K52" s="217">
        <f t="shared" si="48"/>
        <v>0.0045995</v>
      </c>
      <c r="L52" s="217">
        <f t="shared" si="48"/>
        <v>0.005</v>
      </c>
      <c r="M52" s="217">
        <f t="shared" si="48"/>
        <v>0.024651437</v>
      </c>
      <c r="N52" s="217"/>
      <c r="O52" s="217"/>
      <c r="P52" s="217"/>
      <c r="Q52" s="217"/>
      <c r="R52" s="217"/>
      <c r="S52" s="217"/>
      <c r="T52" s="217"/>
      <c r="U52" s="217"/>
      <c r="V52" s="239"/>
      <c r="W52" s="289"/>
      <c r="X52" s="220"/>
      <c r="Y52" s="220"/>
      <c r="Z52" s="220"/>
      <c r="AA52" s="220"/>
      <c r="AB52" s="211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14"/>
      <c r="AS52" s="221"/>
      <c r="AT52" s="224">
        <f>Quarterly!FP50</f>
        <v>0</v>
      </c>
      <c r="AU52" s="224">
        <f>Quarterly!FS50</f>
        <v>0</v>
      </c>
      <c r="AV52" s="224">
        <f>Quarterly!FV50</f>
        <v>0</v>
      </c>
      <c r="AW52" s="224"/>
      <c r="AX52" s="224"/>
      <c r="AY52" s="224"/>
      <c r="AZ52" s="224"/>
      <c r="BA52" s="224"/>
      <c r="BB52" s="224"/>
      <c r="BC52" s="224"/>
      <c r="BD52" s="224"/>
      <c r="BE52" s="216"/>
    </row>
    <row r="53" spans="1:57" ht="15" hidden="1" outlineLevel="1">
      <c r="A53" s="117" t="s">
        <v>88</v>
      </c>
      <c r="B53" s="117" t="s">
        <v>89</v>
      </c>
      <c r="C53" s="222">
        <f aca="true" t="shared" si="49" ref="C53:M53">C172+C211+C264</f>
        <v>138.12598</v>
      </c>
      <c r="D53" s="222">
        <f t="shared" si="49"/>
        <v>134.84335</v>
      </c>
      <c r="E53" s="222">
        <f t="shared" si="49"/>
        <v>156.7524</v>
      </c>
      <c r="F53" s="222">
        <f t="shared" si="49"/>
        <v>92.6948</v>
      </c>
      <c r="G53" s="222">
        <f t="shared" si="49"/>
        <v>92.919</v>
      </c>
      <c r="H53" s="222">
        <f t="shared" si="49"/>
        <v>160.004508</v>
      </c>
      <c r="I53" s="222">
        <f t="shared" si="49"/>
        <v>146.044</v>
      </c>
      <c r="J53" s="222">
        <f t="shared" si="49"/>
        <v>133.881</v>
      </c>
      <c r="K53" s="222">
        <f t="shared" si="49"/>
        <v>129.149</v>
      </c>
      <c r="L53" s="222">
        <f t="shared" si="49"/>
        <v>136</v>
      </c>
      <c r="M53" s="222">
        <f t="shared" si="49"/>
        <v>107.057</v>
      </c>
      <c r="N53" s="222"/>
      <c r="O53" s="222"/>
      <c r="P53" s="222"/>
      <c r="Q53" s="222"/>
      <c r="R53" s="222"/>
      <c r="S53" s="222"/>
      <c r="T53" s="222"/>
      <c r="U53" s="222"/>
      <c r="V53" s="239"/>
      <c r="W53" s="69"/>
      <c r="X53" s="211">
        <f>X172+X211+X264</f>
        <v>136.87073</v>
      </c>
      <c r="Y53" s="211">
        <f>Y172+Y211+Y264</f>
        <v>132.69017</v>
      </c>
      <c r="Z53" s="211">
        <f>Z172+Z211+Z264</f>
        <v>155.5942</v>
      </c>
      <c r="AA53" s="211">
        <f>AA172+AA211+AA264</f>
        <v>95.7336</v>
      </c>
      <c r="AB53" s="211">
        <v>90.974</v>
      </c>
      <c r="AC53" s="211">
        <f aca="true" t="shared" si="50" ref="AC53:AH53">AC172+AC211+AC264</f>
        <v>157.6</v>
      </c>
      <c r="AD53" s="211">
        <f t="shared" si="50"/>
        <v>148.025</v>
      </c>
      <c r="AE53" s="211">
        <f t="shared" si="50"/>
        <v>131.959</v>
      </c>
      <c r="AF53" s="211">
        <f t="shared" si="50"/>
        <v>130.5</v>
      </c>
      <c r="AG53" s="211">
        <f t="shared" si="50"/>
        <v>133.6</v>
      </c>
      <c r="AH53" s="211">
        <f t="shared" si="50"/>
        <v>111.292</v>
      </c>
      <c r="AI53" s="211"/>
      <c r="AJ53" s="211"/>
      <c r="AK53" s="211"/>
      <c r="AL53" s="211"/>
      <c r="AM53" s="211"/>
      <c r="AN53" s="211"/>
      <c r="AO53" s="211"/>
      <c r="AP53" s="211"/>
      <c r="AQ53" s="387"/>
      <c r="AS53" s="224">
        <v>134.2</v>
      </c>
      <c r="AT53" s="224">
        <f>Quarterly!FP51</f>
        <v>130</v>
      </c>
      <c r="AU53" s="224">
        <f>Quarterly!FS51</f>
        <v>132</v>
      </c>
      <c r="AV53" s="224">
        <f>Quarterly!FV51</f>
        <v>111.29236</v>
      </c>
      <c r="AW53" s="224"/>
      <c r="AX53" s="224"/>
      <c r="AY53" s="224"/>
      <c r="AZ53" s="224"/>
      <c r="BA53" s="224"/>
      <c r="BB53" s="224"/>
      <c r="BC53" s="224"/>
      <c r="BD53" s="224"/>
      <c r="BE53" s="216"/>
    </row>
    <row r="54" spans="1:57" s="68" customFormat="1" ht="47.25" hidden="1" outlineLevel="1">
      <c r="A54" s="290" t="s">
        <v>181</v>
      </c>
      <c r="B54" s="290" t="s">
        <v>197</v>
      </c>
      <c r="C54" s="291">
        <f aca="true" t="shared" si="51" ref="C54:K54">C20-C21+C22-C23+C29-C30+C37-C38+C47</f>
        <v>5094.22059</v>
      </c>
      <c r="D54" s="291">
        <f t="shared" si="51"/>
        <v>5268.7726</v>
      </c>
      <c r="E54" s="291">
        <f t="shared" si="51"/>
        <v>5679.20585108</v>
      </c>
      <c r="F54" s="291">
        <f t="shared" si="51"/>
        <v>4840.128638929999</v>
      </c>
      <c r="G54" s="291">
        <f t="shared" si="51"/>
        <v>5194.026427</v>
      </c>
      <c r="H54" s="291">
        <f t="shared" si="51"/>
        <v>5550.3290212</v>
      </c>
      <c r="I54" s="291">
        <f t="shared" si="51"/>
        <v>5843.833455499999</v>
      </c>
      <c r="J54" s="291">
        <f t="shared" si="51"/>
        <v>5886.808108599998</v>
      </c>
      <c r="K54" s="291">
        <f t="shared" si="51"/>
        <v>6133.944482099999</v>
      </c>
      <c r="L54" s="291">
        <f>L20-L21+L22-L23+L29-L30+L37-L38+L47</f>
        <v>6094.000000000001</v>
      </c>
      <c r="M54" s="291">
        <f>M20-M21+M22-M23+M29-M30+M37-M38+M47</f>
        <v>6027.848154299995</v>
      </c>
      <c r="N54" s="291"/>
      <c r="O54" s="291"/>
      <c r="P54" s="291"/>
      <c r="Q54" s="291"/>
      <c r="R54" s="291"/>
      <c r="S54" s="291"/>
      <c r="T54" s="291"/>
      <c r="U54" s="291"/>
      <c r="V54" s="301"/>
      <c r="W54" s="67"/>
      <c r="X54" s="292">
        <f aca="true" t="shared" si="52" ref="X54:AE54">X20-X21+X22-X23+X29-X30+X37-X38+X47</f>
        <v>4971.72204</v>
      </c>
      <c r="Y54" s="292">
        <f t="shared" si="52"/>
        <v>5193.215205</v>
      </c>
      <c r="Z54" s="292">
        <f t="shared" si="52"/>
        <v>5711.0089671000005</v>
      </c>
      <c r="AA54" s="292">
        <f t="shared" si="52"/>
        <v>4748.2812082</v>
      </c>
      <c r="AB54" s="292">
        <f t="shared" si="52"/>
        <v>5346.0215825</v>
      </c>
      <c r="AC54" s="292">
        <f t="shared" si="52"/>
        <v>5464.1</v>
      </c>
      <c r="AD54" s="292">
        <f t="shared" si="52"/>
        <v>5841.583153999999</v>
      </c>
      <c r="AE54" s="292">
        <f t="shared" si="52"/>
        <v>5793.21239168</v>
      </c>
      <c r="AF54" s="292">
        <f>AF20-AF21+AF22-AF23+AF29-AF30+AF37-AF38+AF47</f>
        <v>6181.117281</v>
      </c>
      <c r="AG54" s="292">
        <f>AG20-AG21+AG22-AG23+AG29-AG30+AG37-AG38+AG47</f>
        <v>6108.9</v>
      </c>
      <c r="AH54" s="292">
        <f>AH20-AH21+AH22-AH23+AH29-AH30+AH37-AH38+AH47</f>
        <v>5962.493828899995</v>
      </c>
      <c r="AI54" s="292"/>
      <c r="AJ54" s="292"/>
      <c r="AK54" s="292"/>
      <c r="AL54" s="292"/>
      <c r="AM54" s="292"/>
      <c r="AN54" s="292"/>
      <c r="AO54" s="292"/>
      <c r="AP54" s="292"/>
      <c r="AQ54" s="293"/>
      <c r="AS54" s="284">
        <f>AS20+AS22+AS29+AS37+AS47</f>
        <v>5846.394456</v>
      </c>
      <c r="AT54" s="284">
        <f>AT20+AT22+AT29+AT37+AT47</f>
        <v>6151.679999999999</v>
      </c>
      <c r="AU54" s="284">
        <f>AU20+AU22+AU29+AU37+AU47</f>
        <v>6120.3</v>
      </c>
      <c r="AV54" s="284">
        <f>AV20+AV22+AV29+AV37+AV47</f>
        <v>5940.341820899997</v>
      </c>
      <c r="AW54" s="284"/>
      <c r="AX54" s="284"/>
      <c r="AY54" s="284"/>
      <c r="AZ54" s="284"/>
      <c r="BA54" s="284"/>
      <c r="BB54" s="284"/>
      <c r="BC54" s="284"/>
      <c r="BD54" s="284"/>
      <c r="BE54" s="294"/>
    </row>
    <row r="55" spans="1:43" ht="15" hidden="1" outlineLevel="1">
      <c r="A55" s="133"/>
      <c r="B55" s="133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69"/>
      <c r="O55" s="69"/>
      <c r="P55" s="69"/>
      <c r="Q55" s="69"/>
      <c r="R55" s="69"/>
      <c r="S55" s="69"/>
      <c r="T55" s="69"/>
      <c r="U55" s="69"/>
      <c r="V55" s="22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230"/>
    </row>
    <row r="56" spans="1:57" ht="15.75" hidden="1" outlineLevel="1">
      <c r="A56" s="98" t="s">
        <v>154</v>
      </c>
      <c r="B56" s="98" t="s">
        <v>155</v>
      </c>
      <c r="C56" s="144"/>
      <c r="D56" s="144"/>
      <c r="E56" s="144"/>
      <c r="F56" s="144"/>
      <c r="G56" s="144"/>
      <c r="H56" s="144"/>
      <c r="I56" s="144"/>
      <c r="J56" s="144">
        <f>J219</f>
        <v>21.051</v>
      </c>
      <c r="K56" s="144">
        <f>K219</f>
        <v>641.625</v>
      </c>
      <c r="L56" s="144">
        <f>L219</f>
        <v>891.001</v>
      </c>
      <c r="M56" s="144">
        <f>M219</f>
        <v>1135.232</v>
      </c>
      <c r="N56" s="144"/>
      <c r="O56" s="144"/>
      <c r="P56" s="144"/>
      <c r="Q56" s="144"/>
      <c r="R56" s="144"/>
      <c r="S56" s="144"/>
      <c r="T56" s="144"/>
      <c r="U56" s="144"/>
      <c r="V56" s="239"/>
      <c r="W56" s="288"/>
      <c r="X56" s="213"/>
      <c r="Y56" s="213"/>
      <c r="Z56" s="213"/>
      <c r="AA56" s="213"/>
      <c r="AB56" s="213"/>
      <c r="AC56" s="213"/>
      <c r="AD56" s="89"/>
      <c r="AE56" s="89">
        <f>AE219-AE220</f>
        <v>0</v>
      </c>
      <c r="AF56" s="89">
        <f>AF219-AF220</f>
        <v>7.613000000000056</v>
      </c>
      <c r="AG56" s="89">
        <f>AG219-AG220</f>
        <v>179.76</v>
      </c>
      <c r="AH56" s="89">
        <f>AH219-AH220</f>
        <v>355.97880999999995</v>
      </c>
      <c r="AI56" s="89"/>
      <c r="AJ56" s="89"/>
      <c r="AK56" s="89"/>
      <c r="AL56" s="89"/>
      <c r="AM56" s="89"/>
      <c r="AN56" s="89"/>
      <c r="AO56" s="89"/>
      <c r="AP56" s="89"/>
      <c r="AQ56" s="388"/>
      <c r="AS56" s="109">
        <f>AE56</f>
        <v>0</v>
      </c>
      <c r="AT56" s="109">
        <f>Quarterly!FP54</f>
        <v>7.61345</v>
      </c>
      <c r="AU56" s="109">
        <f>Quarterly!FS54</f>
        <v>179.76</v>
      </c>
      <c r="AV56" s="109">
        <f>Quarterly!FV54</f>
        <v>355.9787410000001</v>
      </c>
      <c r="AW56" s="109"/>
      <c r="AX56" s="109"/>
      <c r="AY56" s="109"/>
      <c r="AZ56" s="109"/>
      <c r="BA56" s="109"/>
      <c r="BB56" s="109"/>
      <c r="BC56" s="109"/>
      <c r="BD56" s="109"/>
      <c r="BE56" s="216"/>
    </row>
    <row r="57" spans="1:57" ht="15" hidden="1" outlineLevel="1">
      <c r="A57" s="100" t="s">
        <v>99</v>
      </c>
      <c r="B57" s="100" t="s">
        <v>93</v>
      </c>
      <c r="C57" s="217"/>
      <c r="D57" s="217"/>
      <c r="E57" s="217"/>
      <c r="F57" s="217"/>
      <c r="G57" s="217"/>
      <c r="H57" s="217"/>
      <c r="I57" s="217"/>
      <c r="J57" s="217">
        <f>AE220</f>
        <v>21.051</v>
      </c>
      <c r="K57" s="217">
        <f>AF220</f>
        <v>629.914</v>
      </c>
      <c r="L57" s="217">
        <f>AG220</f>
        <v>717.603</v>
      </c>
      <c r="M57" s="217">
        <f>AH220</f>
        <v>774.875291</v>
      </c>
      <c r="N57" s="217"/>
      <c r="O57" s="217"/>
      <c r="P57" s="217"/>
      <c r="Q57" s="217"/>
      <c r="R57" s="217"/>
      <c r="S57" s="217"/>
      <c r="T57" s="217"/>
      <c r="U57" s="217"/>
      <c r="V57" s="239"/>
      <c r="W57" s="289"/>
      <c r="X57" s="220"/>
      <c r="Y57" s="220"/>
      <c r="Z57" s="220"/>
      <c r="AA57" s="220"/>
      <c r="AB57" s="211"/>
      <c r="AC57" s="220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1:57" ht="31.5" hidden="1" outlineLevel="1">
      <c r="A58" s="290" t="s">
        <v>182</v>
      </c>
      <c r="B58" s="290" t="s">
        <v>185</v>
      </c>
      <c r="C58" s="222"/>
      <c r="D58" s="222"/>
      <c r="E58" s="222"/>
      <c r="F58" s="222"/>
      <c r="G58" s="222"/>
      <c r="H58" s="222"/>
      <c r="I58" s="291"/>
      <c r="J58" s="291">
        <f>J56-J57</f>
        <v>0</v>
      </c>
      <c r="K58" s="291">
        <f>K56-K57</f>
        <v>11.711000000000013</v>
      </c>
      <c r="L58" s="291">
        <f>L56-L57</f>
        <v>173.39800000000002</v>
      </c>
      <c r="M58" s="291">
        <f>M56-M57</f>
        <v>360.356709</v>
      </c>
      <c r="N58" s="291"/>
      <c r="O58" s="291"/>
      <c r="P58" s="291"/>
      <c r="Q58" s="291"/>
      <c r="R58" s="291"/>
      <c r="S58" s="291"/>
      <c r="T58" s="291"/>
      <c r="U58" s="291"/>
      <c r="V58" s="239"/>
      <c r="W58" s="69"/>
      <c r="X58" s="286"/>
      <c r="Y58" s="286"/>
      <c r="Z58" s="286"/>
      <c r="AA58" s="286"/>
      <c r="AB58" s="286"/>
      <c r="AC58" s="286"/>
      <c r="AD58" s="287"/>
      <c r="AE58" s="287">
        <f>AE56-AE57</f>
        <v>0</v>
      </c>
      <c r="AF58" s="287">
        <f>AF56-AF57</f>
        <v>7.613000000000056</v>
      </c>
      <c r="AG58" s="287">
        <f>AG56-AG57</f>
        <v>179.76</v>
      </c>
      <c r="AH58" s="287">
        <f>AH56-AH57</f>
        <v>355.97880999999995</v>
      </c>
      <c r="AI58" s="287"/>
      <c r="AJ58" s="287"/>
      <c r="AK58" s="287"/>
      <c r="AL58" s="287"/>
      <c r="AM58" s="287"/>
      <c r="AN58" s="287"/>
      <c r="AO58" s="287"/>
      <c r="AP58" s="287"/>
      <c r="AQ58" s="293"/>
      <c r="AS58" s="285">
        <f>AS56-AS57</f>
        <v>0</v>
      </c>
      <c r="AT58" s="285">
        <f>AT56-AT57</f>
        <v>7.61345</v>
      </c>
      <c r="AU58" s="285">
        <f>AU56-AU57</f>
        <v>179.76</v>
      </c>
      <c r="AV58" s="285">
        <f>AV56-AV57</f>
        <v>355.9787410000001</v>
      </c>
      <c r="AW58" s="285"/>
      <c r="AX58" s="285"/>
      <c r="AY58" s="285"/>
      <c r="AZ58" s="285"/>
      <c r="BA58" s="285"/>
      <c r="BB58" s="285"/>
      <c r="BC58" s="285"/>
      <c r="BD58" s="285"/>
      <c r="BE58" s="294"/>
    </row>
    <row r="59" spans="1:43" ht="15.75" hidden="1" outlineLevel="1">
      <c r="A59" s="59"/>
      <c r="B59" s="60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22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230"/>
    </row>
    <row r="60" spans="1:57" s="68" customFormat="1" ht="31.5" hidden="1" outlineLevel="1">
      <c r="A60" s="298" t="s">
        <v>189</v>
      </c>
      <c r="B60" s="298" t="s">
        <v>190</v>
      </c>
      <c r="C60" s="296">
        <f>C54+C58</f>
        <v>5094.22059</v>
      </c>
      <c r="D60" s="296">
        <f aca="true" t="shared" si="53" ref="D60:K60">D54+D58</f>
        <v>5268.7726</v>
      </c>
      <c r="E60" s="296">
        <f t="shared" si="53"/>
        <v>5679.20585108</v>
      </c>
      <c r="F60" s="296">
        <f t="shared" si="53"/>
        <v>4840.128638929999</v>
      </c>
      <c r="G60" s="296">
        <f t="shared" si="53"/>
        <v>5194.026427</v>
      </c>
      <c r="H60" s="296">
        <f t="shared" si="53"/>
        <v>5550.3290212</v>
      </c>
      <c r="I60" s="296">
        <f t="shared" si="53"/>
        <v>5843.833455499999</v>
      </c>
      <c r="J60" s="296">
        <f t="shared" si="53"/>
        <v>5886.808108599998</v>
      </c>
      <c r="K60" s="296">
        <f t="shared" si="53"/>
        <v>6145.655482099999</v>
      </c>
      <c r="L60" s="296">
        <f>L54+L58</f>
        <v>6267.398000000001</v>
      </c>
      <c r="M60" s="296">
        <f>M54+M58</f>
        <v>6388.204863299995</v>
      </c>
      <c r="N60" s="296"/>
      <c r="O60" s="296"/>
      <c r="P60" s="296"/>
      <c r="Q60" s="296"/>
      <c r="R60" s="296"/>
      <c r="S60" s="296"/>
      <c r="T60" s="296"/>
      <c r="U60" s="296"/>
      <c r="V60" s="299"/>
      <c r="W60" s="288"/>
      <c r="X60" s="296">
        <f>X54+X58</f>
        <v>4971.72204</v>
      </c>
      <c r="Y60" s="296">
        <f aca="true" t="shared" si="54" ref="Y60:AG60">Y54+Y58</f>
        <v>5193.215205</v>
      </c>
      <c r="Z60" s="296">
        <f t="shared" si="54"/>
        <v>5711.0089671000005</v>
      </c>
      <c r="AA60" s="296">
        <f t="shared" si="54"/>
        <v>4748.2812082</v>
      </c>
      <c r="AB60" s="296">
        <f t="shared" si="54"/>
        <v>5346.0215825</v>
      </c>
      <c r="AC60" s="296">
        <f t="shared" si="54"/>
        <v>5464.1</v>
      </c>
      <c r="AD60" s="296">
        <f t="shared" si="54"/>
        <v>5841.583153999999</v>
      </c>
      <c r="AE60" s="296">
        <f t="shared" si="54"/>
        <v>5793.21239168</v>
      </c>
      <c r="AF60" s="296">
        <f t="shared" si="54"/>
        <v>6188.730281</v>
      </c>
      <c r="AG60" s="296">
        <f t="shared" si="54"/>
        <v>6288.66</v>
      </c>
      <c r="AH60" s="296">
        <f>AH54+AH58</f>
        <v>6318.472638899994</v>
      </c>
      <c r="AI60" s="296"/>
      <c r="AJ60" s="296"/>
      <c r="AK60" s="296"/>
      <c r="AL60" s="296"/>
      <c r="AM60" s="296"/>
      <c r="AN60" s="296"/>
      <c r="AO60" s="296"/>
      <c r="AP60" s="296"/>
      <c r="AQ60" s="297"/>
      <c r="AS60" s="295">
        <f>AS54+AS58</f>
        <v>5846.394456</v>
      </c>
      <c r="AT60" s="295">
        <f>AT54+AT58</f>
        <v>6159.293449999999</v>
      </c>
      <c r="AU60" s="295">
        <f>AU54+AU58</f>
        <v>6300.06</v>
      </c>
      <c r="AV60" s="295">
        <f>AV54+AV58</f>
        <v>6296.320561899997</v>
      </c>
      <c r="AW60" s="295"/>
      <c r="AX60" s="295"/>
      <c r="AY60" s="295"/>
      <c r="AZ60" s="295"/>
      <c r="BA60" s="295"/>
      <c r="BB60" s="295"/>
      <c r="BC60" s="295"/>
      <c r="BD60" s="295"/>
      <c r="BE60" s="382"/>
    </row>
    <row r="61" spans="1:43" ht="15" hidden="1" outlineLevel="1">
      <c r="A61" s="277" t="s">
        <v>195</v>
      </c>
      <c r="B61" s="133"/>
      <c r="C61" s="69"/>
      <c r="D61" s="69"/>
      <c r="E61" s="69"/>
      <c r="F61" s="69"/>
      <c r="G61" s="22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22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230"/>
    </row>
    <row r="62" spans="1:43" ht="15" hidden="1" outlineLevel="1">
      <c r="A62" s="277" t="s">
        <v>194</v>
      </c>
      <c r="B62" s="133"/>
      <c r="C62" s="69"/>
      <c r="D62" s="69"/>
      <c r="E62" s="69"/>
      <c r="F62" s="69"/>
      <c r="G62" s="425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22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230"/>
    </row>
    <row r="63" spans="1:56" ht="15" hidden="1" outlineLevel="1">
      <c r="A63" s="278"/>
      <c r="B63" s="133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22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230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</row>
    <row r="64" spans="1:43" ht="15.75" hidden="1" outlineLevel="1">
      <c r="A64" s="133"/>
      <c r="B64" s="133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29"/>
      <c r="W64" s="235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0"/>
    </row>
    <row r="65" spans="1:57" ht="15.75" collapsed="1">
      <c r="A65" s="654" t="s">
        <v>223</v>
      </c>
      <c r="B65" s="654" t="s">
        <v>218</v>
      </c>
      <c r="C65" s="655" t="s">
        <v>52</v>
      </c>
      <c r="D65" s="655"/>
      <c r="E65" s="655"/>
      <c r="F65" s="655"/>
      <c r="G65" s="655"/>
      <c r="H65" s="655"/>
      <c r="I65" s="655"/>
      <c r="J65" s="655"/>
      <c r="K65" s="655"/>
      <c r="L65" s="655"/>
      <c r="M65" s="655"/>
      <c r="N65" s="655"/>
      <c r="O65" s="655"/>
      <c r="P65" s="655"/>
      <c r="Q65" s="655"/>
      <c r="R65" s="655"/>
      <c r="S65" s="655"/>
      <c r="T65" s="655"/>
      <c r="U65" s="655"/>
      <c r="V65" s="655"/>
      <c r="W65" s="210"/>
      <c r="X65" s="656" t="s">
        <v>171</v>
      </c>
      <c r="Y65" s="656"/>
      <c r="Z65" s="656"/>
      <c r="AA65" s="656"/>
      <c r="AB65" s="656"/>
      <c r="AC65" s="656"/>
      <c r="AD65" s="656"/>
      <c r="AE65" s="656"/>
      <c r="AF65" s="656"/>
      <c r="AG65" s="656"/>
      <c r="AH65" s="656"/>
      <c r="AI65" s="656"/>
      <c r="AJ65" s="656"/>
      <c r="AK65" s="656"/>
      <c r="AL65" s="656"/>
      <c r="AM65" s="656"/>
      <c r="AN65" s="656"/>
      <c r="AO65" s="656"/>
      <c r="AP65" s="656"/>
      <c r="AQ65" s="656"/>
      <c r="AS65" s="653" t="s">
        <v>191</v>
      </c>
      <c r="AT65" s="653"/>
      <c r="AU65" s="653"/>
      <c r="AV65" s="653"/>
      <c r="AW65" s="653"/>
      <c r="AX65" s="653"/>
      <c r="AY65" s="653"/>
      <c r="AZ65" s="653"/>
      <c r="BA65" s="653"/>
      <c r="BB65" s="653"/>
      <c r="BC65" s="653"/>
      <c r="BD65" s="653"/>
      <c r="BE65" s="653"/>
    </row>
    <row r="66" spans="1:57" ht="15.75">
      <c r="A66" s="654"/>
      <c r="B66" s="654"/>
      <c r="C66" s="655" t="s">
        <v>54</v>
      </c>
      <c r="D66" s="655"/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655"/>
      <c r="U66" s="655"/>
      <c r="V66" s="655"/>
      <c r="W66" s="210"/>
      <c r="X66" s="656" t="s">
        <v>172</v>
      </c>
      <c r="Y66" s="656"/>
      <c r="Z66" s="656"/>
      <c r="AA66" s="656"/>
      <c r="AB66" s="656"/>
      <c r="AC66" s="656"/>
      <c r="AD66" s="656"/>
      <c r="AE66" s="656"/>
      <c r="AF66" s="656"/>
      <c r="AG66" s="656"/>
      <c r="AH66" s="656"/>
      <c r="AI66" s="656"/>
      <c r="AJ66" s="656"/>
      <c r="AK66" s="656"/>
      <c r="AL66" s="656"/>
      <c r="AM66" s="656"/>
      <c r="AN66" s="656"/>
      <c r="AO66" s="656"/>
      <c r="AP66" s="656"/>
      <c r="AQ66" s="656"/>
      <c r="AS66" s="653" t="s">
        <v>168</v>
      </c>
      <c r="AT66" s="653"/>
      <c r="AU66" s="653"/>
      <c r="AV66" s="653"/>
      <c r="AW66" s="653"/>
      <c r="AX66" s="653"/>
      <c r="AY66" s="653"/>
      <c r="AZ66" s="653"/>
      <c r="BA66" s="653"/>
      <c r="BB66" s="653"/>
      <c r="BC66" s="653"/>
      <c r="BD66" s="653"/>
      <c r="BE66" s="653"/>
    </row>
    <row r="67" spans="1:57" ht="15.75">
      <c r="A67" s="96" t="s">
        <v>55</v>
      </c>
      <c r="B67" s="96" t="s">
        <v>53</v>
      </c>
      <c r="C67" s="282">
        <v>2005</v>
      </c>
      <c r="D67" s="282">
        <v>2006</v>
      </c>
      <c r="E67" s="282">
        <v>2007</v>
      </c>
      <c r="F67" s="282">
        <v>2008</v>
      </c>
      <c r="G67" s="282">
        <v>2009</v>
      </c>
      <c r="H67" s="282">
        <v>2010</v>
      </c>
      <c r="I67" s="282">
        <v>2011</v>
      </c>
      <c r="J67" s="282">
        <v>2012</v>
      </c>
      <c r="K67" s="282">
        <v>2013</v>
      </c>
      <c r="L67" s="282">
        <v>2014</v>
      </c>
      <c r="M67" s="282">
        <v>2015</v>
      </c>
      <c r="N67" s="282">
        <v>2016</v>
      </c>
      <c r="O67" s="282">
        <v>2017</v>
      </c>
      <c r="P67" s="282">
        <v>2018</v>
      </c>
      <c r="Q67" s="282">
        <v>2019</v>
      </c>
      <c r="R67" s="282">
        <v>2020</v>
      </c>
      <c r="S67" s="282">
        <v>2021</v>
      </c>
      <c r="T67" s="282">
        <v>2022</v>
      </c>
      <c r="U67" s="282">
        <v>2023</v>
      </c>
      <c r="V67" s="282" t="s">
        <v>102</v>
      </c>
      <c r="W67" s="300"/>
      <c r="X67" s="424">
        <v>2005</v>
      </c>
      <c r="Y67" s="424">
        <v>2006</v>
      </c>
      <c r="Z67" s="424">
        <v>2007</v>
      </c>
      <c r="AA67" s="424">
        <v>2008</v>
      </c>
      <c r="AB67" s="424">
        <v>2009</v>
      </c>
      <c r="AC67" s="424">
        <v>2010</v>
      </c>
      <c r="AD67" s="424">
        <v>2011</v>
      </c>
      <c r="AE67" s="424">
        <v>2012</v>
      </c>
      <c r="AF67" s="424">
        <v>2013</v>
      </c>
      <c r="AG67" s="424">
        <v>2014</v>
      </c>
      <c r="AH67" s="424">
        <v>2015</v>
      </c>
      <c r="AI67" s="424">
        <v>2016</v>
      </c>
      <c r="AJ67" s="495">
        <v>2017</v>
      </c>
      <c r="AK67" s="514">
        <v>2018</v>
      </c>
      <c r="AL67" s="554">
        <v>2019</v>
      </c>
      <c r="AM67" s="563">
        <v>2020</v>
      </c>
      <c r="AN67" s="608">
        <v>2021</v>
      </c>
      <c r="AO67" s="617">
        <v>2022</v>
      </c>
      <c r="AP67" s="620">
        <v>2023</v>
      </c>
      <c r="AQ67" s="424" t="s">
        <v>102</v>
      </c>
      <c r="AR67" s="68"/>
      <c r="AS67" s="423">
        <v>2012</v>
      </c>
      <c r="AT67" s="423">
        <v>2013</v>
      </c>
      <c r="AU67" s="423">
        <v>2014</v>
      </c>
      <c r="AV67" s="423">
        <v>2015</v>
      </c>
      <c r="AW67" s="423">
        <v>2016</v>
      </c>
      <c r="AX67" s="496">
        <v>2017</v>
      </c>
      <c r="AY67" s="516">
        <v>2018</v>
      </c>
      <c r="AZ67" s="555">
        <v>2019</v>
      </c>
      <c r="BA67" s="564">
        <v>2020</v>
      </c>
      <c r="BB67" s="610">
        <v>2021</v>
      </c>
      <c r="BC67" s="618">
        <v>2022</v>
      </c>
      <c r="BD67" s="636">
        <v>2023</v>
      </c>
      <c r="BE67" s="423" t="s">
        <v>102</v>
      </c>
    </row>
    <row r="68" spans="1:59" ht="15.75">
      <c r="A68" s="96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282" t="s">
        <v>101</v>
      </c>
      <c r="W68" s="210"/>
      <c r="X68" s="211"/>
      <c r="Y68" s="211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424" t="s">
        <v>101</v>
      </c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423" t="s">
        <v>101</v>
      </c>
      <c r="BG68" s="445"/>
    </row>
    <row r="69" spans="1:59" ht="15.75">
      <c r="A69" s="98" t="s">
        <v>58</v>
      </c>
      <c r="B69" s="98" t="s">
        <v>2</v>
      </c>
      <c r="C69" s="144">
        <f>C132+C180</f>
        <v>1554.565</v>
      </c>
      <c r="D69" s="144">
        <f aca="true" t="shared" si="55" ref="D69:M69">D132+D180</f>
        <v>1486.688</v>
      </c>
      <c r="E69" s="144">
        <f t="shared" si="55"/>
        <v>1588.3539999999998</v>
      </c>
      <c r="F69" s="144">
        <f t="shared" si="55"/>
        <v>1430.364</v>
      </c>
      <c r="G69" s="144">
        <f t="shared" si="55"/>
        <v>1622.758</v>
      </c>
      <c r="H69" s="144">
        <f t="shared" si="55"/>
        <v>1624.4</v>
      </c>
      <c r="I69" s="144">
        <f t="shared" si="55"/>
        <v>1680</v>
      </c>
      <c r="J69" s="144">
        <f t="shared" si="55"/>
        <v>1694.697</v>
      </c>
      <c r="K69" s="144">
        <f t="shared" si="55"/>
        <v>1835.616</v>
      </c>
      <c r="L69" s="144">
        <f t="shared" si="55"/>
        <v>1746.9</v>
      </c>
      <c r="M69" s="144">
        <f t="shared" si="55"/>
        <v>1707.656</v>
      </c>
      <c r="N69" s="144">
        <f aca="true" t="shared" si="56" ref="N69:S69">N132+N180</f>
        <v>2200.8</v>
      </c>
      <c r="O69" s="144">
        <f t="shared" si="56"/>
        <v>2594.682</v>
      </c>
      <c r="P69" s="524">
        <f t="shared" si="56"/>
        <v>2616.122</v>
      </c>
      <c r="Q69" s="524">
        <f t="shared" si="56"/>
        <v>2582.876</v>
      </c>
      <c r="R69" s="524">
        <f t="shared" si="56"/>
        <v>2729.3689999999997</v>
      </c>
      <c r="S69" s="524">
        <f t="shared" si="56"/>
        <v>2909.272</v>
      </c>
      <c r="T69" s="524">
        <f>T132+T180</f>
        <v>2816.3559999999998</v>
      </c>
      <c r="U69" s="524">
        <f>U132+U180</f>
        <v>2952.231</v>
      </c>
      <c r="V69" s="443">
        <f>U69/T69-1</f>
        <v>0.0482449661903539</v>
      </c>
      <c r="W69" s="288"/>
      <c r="X69" s="213">
        <f>X132+X180</f>
        <v>357.533</v>
      </c>
      <c r="Y69" s="213">
        <f aca="true" t="shared" si="57" ref="Y69:AG69">Y132+Y180</f>
        <v>268.67001</v>
      </c>
      <c r="Z69" s="213">
        <f t="shared" si="57"/>
        <v>300.438643</v>
      </c>
      <c r="AA69" s="213">
        <f t="shared" si="57"/>
        <v>229.16181</v>
      </c>
      <c r="AB69" s="213">
        <f t="shared" si="57"/>
        <v>239.74608999999998</v>
      </c>
      <c r="AC69" s="213">
        <f t="shared" si="57"/>
        <v>238.4</v>
      </c>
      <c r="AD69" s="213">
        <f t="shared" si="57"/>
        <v>180.39999999999998</v>
      </c>
      <c r="AE69" s="213">
        <f t="shared" si="57"/>
        <v>142.35012</v>
      </c>
      <c r="AF69" s="213">
        <f t="shared" si="57"/>
        <v>136.5</v>
      </c>
      <c r="AG69" s="213">
        <f t="shared" si="57"/>
        <v>97.2</v>
      </c>
      <c r="AH69" s="213">
        <f aca="true" t="shared" si="58" ref="AH69:AM69">AH132-AH133+AH180-AH181</f>
        <v>9.43528</v>
      </c>
      <c r="AI69" s="213">
        <f t="shared" si="58"/>
        <v>302.9059</v>
      </c>
      <c r="AJ69" s="213">
        <f t="shared" si="58"/>
        <v>543.96047</v>
      </c>
      <c r="AK69" s="213">
        <f t="shared" si="58"/>
        <v>446.19144000000006</v>
      </c>
      <c r="AL69" s="213">
        <f t="shared" si="58"/>
        <v>289.13593</v>
      </c>
      <c r="AM69" s="213">
        <f t="shared" si="58"/>
        <v>107.98451</v>
      </c>
      <c r="AN69" s="213">
        <f>AN132-AN133+AN180-AN181</f>
        <v>56.084320000000005</v>
      </c>
      <c r="AO69" s="213">
        <f>AO132-AO133+AO180-AO181</f>
        <v>12.70558</v>
      </c>
      <c r="AP69" s="213">
        <f>AP132-AP133+AP180-AP181</f>
        <v>0</v>
      </c>
      <c r="AQ69" s="573">
        <f>AP69/AO69-1</f>
        <v>-1</v>
      </c>
      <c r="AS69" s="215"/>
      <c r="AT69" s="215">
        <f>Quarterly!FP65</f>
        <v>142.97315</v>
      </c>
      <c r="AU69" s="215">
        <f>Quarterly!FS65</f>
        <v>93.93509000000002</v>
      </c>
      <c r="AV69" s="215">
        <f>Quarterly!FV65</f>
        <v>18.472789999999993</v>
      </c>
      <c r="AW69" s="215">
        <f>Quarterly!FY65</f>
        <v>269.19867999999997</v>
      </c>
      <c r="AX69" s="215">
        <f>Quarterly!GB65</f>
        <v>555.7357399999999</v>
      </c>
      <c r="AY69" s="215">
        <f>Quarterly!GE65</f>
        <v>447.96517000000006</v>
      </c>
      <c r="AZ69" s="215">
        <f>Quarterly!GH65</f>
        <v>304.15548099999995</v>
      </c>
      <c r="BA69" s="215">
        <f>Quarterly!GK65</f>
        <v>116.015527</v>
      </c>
      <c r="BB69" s="215">
        <f>Quarterly!GN65</f>
        <v>55.699754999999996</v>
      </c>
      <c r="BC69" s="215">
        <f>Quarterly!GQ65</f>
        <v>12.570219000000002</v>
      </c>
      <c r="BD69" s="215">
        <f>Quarterly!GT65</f>
        <v>0</v>
      </c>
      <c r="BE69" s="583">
        <f>BD69/BC69-1</f>
        <v>-1</v>
      </c>
      <c r="BF69" s="611"/>
      <c r="BG69" s="445"/>
    </row>
    <row r="70" spans="1:57" ht="15.75">
      <c r="A70" s="100" t="s">
        <v>99</v>
      </c>
      <c r="B70" s="100" t="s">
        <v>93</v>
      </c>
      <c r="C70" s="217">
        <f>C133+C181</f>
        <v>1197</v>
      </c>
      <c r="D70" s="217">
        <f aca="true" t="shared" si="59" ref="D70:L70">D133+D181</f>
        <v>1218</v>
      </c>
      <c r="E70" s="217">
        <f t="shared" si="59"/>
        <v>1298.3820799999999</v>
      </c>
      <c r="F70" s="217">
        <f t="shared" si="59"/>
        <v>1194.82688</v>
      </c>
      <c r="G70" s="217">
        <f t="shared" si="59"/>
        <v>1385.7402</v>
      </c>
      <c r="H70" s="217">
        <f t="shared" si="59"/>
        <v>1391.81376</v>
      </c>
      <c r="I70" s="217">
        <f t="shared" si="59"/>
        <v>1499</v>
      </c>
      <c r="J70" s="217">
        <f t="shared" si="59"/>
        <v>1552.03838</v>
      </c>
      <c r="K70" s="217">
        <f t="shared" si="59"/>
        <v>1698.32424</v>
      </c>
      <c r="L70" s="217">
        <f t="shared" si="59"/>
        <v>1650.3000000000002</v>
      </c>
      <c r="M70" s="217">
        <f aca="true" t="shared" si="60" ref="M70:U70">M133+AH133+M181+AH181</f>
        <v>1697.554483</v>
      </c>
      <c r="N70" s="217">
        <f t="shared" si="60"/>
        <v>1895.41576</v>
      </c>
      <c r="O70" s="217">
        <f t="shared" si="60"/>
        <v>2044.1275999999998</v>
      </c>
      <c r="P70" s="217">
        <f t="shared" si="60"/>
        <v>2177.9507100000005</v>
      </c>
      <c r="Q70" s="217">
        <f t="shared" si="60"/>
        <v>2291.39377</v>
      </c>
      <c r="R70" s="217">
        <f t="shared" si="60"/>
        <v>2617.438029</v>
      </c>
      <c r="S70" s="217">
        <f t="shared" si="60"/>
        <v>2844.9543129999997</v>
      </c>
      <c r="T70" s="217">
        <f t="shared" si="60"/>
        <v>2815.9458600000003</v>
      </c>
      <c r="U70" s="217">
        <f t="shared" si="60"/>
        <v>2954.3776993300003</v>
      </c>
      <c r="V70" s="428"/>
      <c r="W70" s="288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574"/>
      <c r="AR70" s="12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584"/>
    </row>
    <row r="71" spans="1:57" ht="15.75">
      <c r="A71" s="70" t="s">
        <v>121</v>
      </c>
      <c r="B71" s="70" t="s">
        <v>57</v>
      </c>
      <c r="C71" s="144">
        <f>C73+C75+C81</f>
        <v>1376.17</v>
      </c>
      <c r="D71" s="144">
        <f aca="true" t="shared" si="61" ref="D71:M71">D73+D75+D81</f>
        <v>1574.38</v>
      </c>
      <c r="E71" s="144">
        <f t="shared" si="61"/>
        <v>1665.0763219999997</v>
      </c>
      <c r="F71" s="144">
        <f t="shared" si="61"/>
        <v>1709.6701629999998</v>
      </c>
      <c r="G71" s="144">
        <f t="shared" si="61"/>
        <v>2202.2501949999996</v>
      </c>
      <c r="H71" s="144">
        <f t="shared" si="61"/>
        <v>2260.2</v>
      </c>
      <c r="I71" s="144">
        <f t="shared" si="61"/>
        <v>2420.1</v>
      </c>
      <c r="J71" s="144">
        <f t="shared" si="61"/>
        <v>2683.164375</v>
      </c>
      <c r="K71" s="144">
        <f t="shared" si="61"/>
        <v>2995.92264</v>
      </c>
      <c r="L71" s="144">
        <f t="shared" si="61"/>
        <v>3016.8</v>
      </c>
      <c r="M71" s="144">
        <f t="shared" si="61"/>
        <v>2960.7545259999997</v>
      </c>
      <c r="N71" s="144">
        <f aca="true" t="shared" si="62" ref="N71:S71">N73+N75+N81</f>
        <v>3635.4893600000005</v>
      </c>
      <c r="O71" s="144">
        <f t="shared" si="62"/>
        <v>3807.16823</v>
      </c>
      <c r="P71" s="524">
        <f t="shared" si="62"/>
        <v>4235.32972</v>
      </c>
      <c r="Q71" s="524">
        <f t="shared" si="62"/>
        <v>4932.67376246</v>
      </c>
      <c r="R71" s="524">
        <f t="shared" si="62"/>
        <v>4706.949735</v>
      </c>
      <c r="S71" s="524">
        <f t="shared" si="62"/>
        <v>5058.219649999999</v>
      </c>
      <c r="T71" s="524">
        <f>T73+T75+T81+T82</f>
        <v>5499.789892000001</v>
      </c>
      <c r="U71" s="524">
        <f>U73+U75+U81+U82</f>
        <v>5313.8852529999995</v>
      </c>
      <c r="V71" s="443">
        <f>U71/T71-1</f>
        <v>-0.033802134745259727</v>
      </c>
      <c r="W71" s="288"/>
      <c r="X71" s="213">
        <f>X73+X75+X81</f>
        <v>1170.80344</v>
      </c>
      <c r="Y71" s="213">
        <f aca="true" t="shared" si="63" ref="Y71:AH71">Y73+Y75+Y81</f>
        <v>1412.1895</v>
      </c>
      <c r="Z71" s="213">
        <f t="shared" si="63"/>
        <v>1476.6640000000002</v>
      </c>
      <c r="AA71" s="213">
        <f t="shared" si="63"/>
        <v>1444.668433</v>
      </c>
      <c r="AB71" s="213">
        <f t="shared" si="63"/>
        <v>1967.087782</v>
      </c>
      <c r="AC71" s="213">
        <f t="shared" si="63"/>
        <v>1924.1</v>
      </c>
      <c r="AD71" s="213">
        <f t="shared" si="63"/>
        <v>2065.74775</v>
      </c>
      <c r="AE71" s="213">
        <f t="shared" si="63"/>
        <v>2248.7096300000003</v>
      </c>
      <c r="AF71" s="213">
        <f t="shared" si="63"/>
        <v>2540.57225</v>
      </c>
      <c r="AG71" s="213">
        <f t="shared" si="63"/>
        <v>2492.7000000000003</v>
      </c>
      <c r="AH71" s="213">
        <f t="shared" si="63"/>
        <v>2478.4470499999998</v>
      </c>
      <c r="AI71" s="213">
        <f aca="true" t="shared" si="64" ref="AI71:AN71">AI73+AI75+AI81</f>
        <v>2985.8006400000004</v>
      </c>
      <c r="AJ71" s="213">
        <f t="shared" si="64"/>
        <v>2657.8891679999997</v>
      </c>
      <c r="AK71" s="213">
        <f t="shared" si="64"/>
        <v>3297.94163</v>
      </c>
      <c r="AL71" s="213">
        <f t="shared" si="64"/>
        <v>3813.2547299999997</v>
      </c>
      <c r="AM71" s="213">
        <f t="shared" si="64"/>
        <v>3987.6261910000003</v>
      </c>
      <c r="AN71" s="213">
        <f t="shared" si="64"/>
        <v>4077.493358</v>
      </c>
      <c r="AO71" s="213">
        <f>AO73+AO75+AO81+AO82</f>
        <v>4612.387639</v>
      </c>
      <c r="AP71" s="213">
        <f>AP73+AP75+AP81+AP82</f>
        <v>4548.2040675</v>
      </c>
      <c r="AQ71" s="573">
        <f>AP71/AO71-1</f>
        <v>-0.013915476435088836</v>
      </c>
      <c r="AS71" s="215">
        <f aca="true" t="shared" si="65" ref="AS71:AX71">AS73+AS75+AS81</f>
        <v>0</v>
      </c>
      <c r="AT71" s="215">
        <f t="shared" si="65"/>
        <v>2443</v>
      </c>
      <c r="AU71" s="215">
        <f t="shared" si="65"/>
        <v>2511.5</v>
      </c>
      <c r="AV71" s="215">
        <f t="shared" si="65"/>
        <v>2513.552821</v>
      </c>
      <c r="AW71" s="215">
        <f t="shared" si="65"/>
        <v>2760.1707096</v>
      </c>
      <c r="AX71" s="215">
        <f t="shared" si="65"/>
        <v>2719.1672540000004</v>
      </c>
      <c r="AY71" s="215">
        <f>AY73+AY75+AY81</f>
        <v>3096.6811868999994</v>
      </c>
      <c r="AZ71" s="215">
        <f>AZ73+AZ75+AZ81</f>
        <v>3842.5497459999997</v>
      </c>
      <c r="BA71" s="215">
        <f>BA73+BA75+BA81</f>
        <v>3874.289485999997</v>
      </c>
      <c r="BB71" s="215">
        <f>BB73+BB75+BB81</f>
        <v>4258.372990999999</v>
      </c>
      <c r="BC71" s="215">
        <f>BC73+BC75+BC81+BC82</f>
        <v>4824.88354</v>
      </c>
      <c r="BD71" s="215">
        <f>BD73+BD75+BD81+BD82</f>
        <v>4596.8917228</v>
      </c>
      <c r="BE71" s="583">
        <f>BD71/BC71-1</f>
        <v>-0.04725333063686754</v>
      </c>
    </row>
    <row r="72" spans="1:57" ht="15.75">
      <c r="A72" s="100" t="s">
        <v>99</v>
      </c>
      <c r="B72" s="100" t="s">
        <v>93</v>
      </c>
      <c r="C72" s="217">
        <f>C74+C76</f>
        <v>131.9</v>
      </c>
      <c r="D72" s="217">
        <f aca="true" t="shared" si="66" ref="D72:M72">D74+D76</f>
        <v>91.5</v>
      </c>
      <c r="E72" s="217">
        <f t="shared" si="66"/>
        <v>194.50916999999998</v>
      </c>
      <c r="F72" s="217">
        <f t="shared" si="66"/>
        <v>280.9719</v>
      </c>
      <c r="G72" s="217">
        <f t="shared" si="66"/>
        <v>249.0016</v>
      </c>
      <c r="H72" s="217">
        <f t="shared" si="66"/>
        <v>313.20000000000005</v>
      </c>
      <c r="I72" s="217">
        <f t="shared" si="66"/>
        <v>358</v>
      </c>
      <c r="J72" s="217">
        <f t="shared" si="66"/>
        <v>426.3591</v>
      </c>
      <c r="K72" s="217">
        <f t="shared" si="66"/>
        <v>468.40576999999996</v>
      </c>
      <c r="L72" s="217">
        <f t="shared" si="66"/>
        <v>535.8</v>
      </c>
      <c r="M72" s="217">
        <f t="shared" si="66"/>
        <v>481.242701</v>
      </c>
      <c r="N72" s="217">
        <f aca="true" t="shared" si="67" ref="N72:S72">N74+N76</f>
        <v>650.75826</v>
      </c>
      <c r="O72" s="217">
        <f t="shared" si="67"/>
        <v>1116.6811200000002</v>
      </c>
      <c r="P72" s="525">
        <f t="shared" si="67"/>
        <v>957.674795</v>
      </c>
      <c r="Q72" s="525">
        <f t="shared" si="67"/>
        <v>1126.556152</v>
      </c>
      <c r="R72" s="525">
        <f t="shared" si="67"/>
        <v>690.124975</v>
      </c>
      <c r="S72" s="525">
        <f t="shared" si="67"/>
        <v>921.0580849999999</v>
      </c>
      <c r="T72" s="525">
        <f>T74+T76</f>
        <v>846.313834</v>
      </c>
      <c r="U72" s="525">
        <f>U74+U76</f>
        <v>683.60114</v>
      </c>
      <c r="V72" s="428"/>
      <c r="W72" s="288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574"/>
      <c r="AR72" s="129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584"/>
    </row>
    <row r="73" spans="1:57" ht="15.75">
      <c r="A73" s="116" t="s">
        <v>122</v>
      </c>
      <c r="B73" s="117" t="s">
        <v>60</v>
      </c>
      <c r="C73" s="222">
        <f>C136+C184</f>
        <v>964.8</v>
      </c>
      <c r="D73" s="222">
        <f aca="true" t="shared" si="68" ref="D73:M73">D136+D184</f>
        <v>1160.75</v>
      </c>
      <c r="E73" s="222">
        <f t="shared" si="68"/>
        <v>1214.1983249999998</v>
      </c>
      <c r="F73" s="222">
        <f t="shared" si="68"/>
        <v>996.6759999999999</v>
      </c>
      <c r="G73" s="222">
        <f t="shared" si="68"/>
        <v>1434.614095</v>
      </c>
      <c r="H73" s="222">
        <f t="shared" si="68"/>
        <v>1297.5</v>
      </c>
      <c r="I73" s="222">
        <f t="shared" si="68"/>
        <v>1412.3</v>
      </c>
      <c r="J73" s="222">
        <f t="shared" si="68"/>
        <v>1423.040495</v>
      </c>
      <c r="K73" s="222">
        <f t="shared" si="68"/>
        <v>1533.22264</v>
      </c>
      <c r="L73" s="222">
        <f t="shared" si="68"/>
        <v>1434.4</v>
      </c>
      <c r="M73" s="222">
        <f t="shared" si="68"/>
        <v>1516.070326</v>
      </c>
      <c r="N73" s="222">
        <f aca="true" t="shared" si="69" ref="N73:T76">N136+N184</f>
        <v>1748.3</v>
      </c>
      <c r="O73" s="222">
        <f t="shared" si="69"/>
        <v>1974.89298</v>
      </c>
      <c r="P73" s="526">
        <f t="shared" si="69"/>
        <v>1798.38512</v>
      </c>
      <c r="Q73" s="526">
        <f t="shared" si="69"/>
        <v>1950.77427</v>
      </c>
      <c r="R73" s="526">
        <f t="shared" si="69"/>
        <v>2430.355165</v>
      </c>
      <c r="S73" s="526">
        <f t="shared" si="69"/>
        <v>2241.2891499999996</v>
      </c>
      <c r="T73" s="526">
        <f t="shared" si="69"/>
        <v>2404.495462</v>
      </c>
      <c r="U73" s="526">
        <f>U136+U184</f>
        <v>2179.1902529999998</v>
      </c>
      <c r="V73" s="428">
        <f>U73/T73-1</f>
        <v>-0.0937016569840381</v>
      </c>
      <c r="W73" s="288"/>
      <c r="X73" s="211">
        <f>X136+X184</f>
        <v>816.46744</v>
      </c>
      <c r="Y73" s="211">
        <f aca="true" t="shared" si="70" ref="Y73:AH73">Y136+Y184</f>
        <v>1060.6675</v>
      </c>
      <c r="Z73" s="211">
        <f t="shared" si="70"/>
        <v>1124.8992</v>
      </c>
      <c r="AA73" s="211">
        <f t="shared" si="70"/>
        <v>936.37777</v>
      </c>
      <c r="AB73" s="211">
        <f t="shared" si="70"/>
        <v>1397.382524</v>
      </c>
      <c r="AC73" s="211">
        <f t="shared" si="70"/>
        <v>1210.6</v>
      </c>
      <c r="AD73" s="211">
        <f t="shared" si="70"/>
        <v>1336.64775</v>
      </c>
      <c r="AE73" s="211">
        <f t="shared" si="70"/>
        <v>1323.58679</v>
      </c>
      <c r="AF73" s="211">
        <f t="shared" si="70"/>
        <v>1445.27225</v>
      </c>
      <c r="AG73" s="211">
        <f t="shared" si="70"/>
        <v>1318.9</v>
      </c>
      <c r="AH73" s="211">
        <f t="shared" si="70"/>
        <v>1429.7015500000002</v>
      </c>
      <c r="AI73" s="211">
        <f aca="true" t="shared" si="71" ref="AI73:AN73">AI136+AI184</f>
        <v>1575.66217</v>
      </c>
      <c r="AJ73" s="211">
        <f t="shared" si="71"/>
        <v>1257.1425199999999</v>
      </c>
      <c r="AK73" s="211">
        <f t="shared" si="71"/>
        <v>1476.3085099999998</v>
      </c>
      <c r="AL73" s="211">
        <f t="shared" si="71"/>
        <v>1549.8604</v>
      </c>
      <c r="AM73" s="211">
        <f t="shared" si="71"/>
        <v>2196.64991</v>
      </c>
      <c r="AN73" s="211">
        <f t="shared" si="71"/>
        <v>1903.56196</v>
      </c>
      <c r="AO73" s="211">
        <f>AO136+AO184</f>
        <v>2034.304064</v>
      </c>
      <c r="AP73" s="211">
        <f>AP136+AP184</f>
        <v>1960.2224234999999</v>
      </c>
      <c r="AQ73" s="575">
        <f>AP73/AO73-1</f>
        <v>-0.03641620828025838</v>
      </c>
      <c r="AS73" s="224"/>
      <c r="AT73" s="224">
        <f>Quarterly!FP69</f>
        <v>1394.2</v>
      </c>
      <c r="AU73" s="224">
        <f>Quarterly!FS69</f>
        <v>1307.3</v>
      </c>
      <c r="AV73" s="224">
        <f>Quarterly!FV69</f>
        <v>1457.26343</v>
      </c>
      <c r="AW73" s="224">
        <f>Quarterly!FY69</f>
        <v>1526.6616</v>
      </c>
      <c r="AX73" s="224">
        <f>Quarterly!GB69</f>
        <v>1232.59434</v>
      </c>
      <c r="AY73" s="224">
        <f>Quarterly!GE69</f>
        <v>1469.6082299999996</v>
      </c>
      <c r="AZ73" s="224">
        <f>Quarterly!GH69</f>
        <v>1567.8346430000001</v>
      </c>
      <c r="BA73" s="224">
        <f>Quarterly!GK69</f>
        <v>2076.551874999997</v>
      </c>
      <c r="BB73" s="224">
        <f>Quarterly!GN69</f>
        <v>1946.6741559999998</v>
      </c>
      <c r="BC73" s="224">
        <f>Quarterly!GQ69</f>
        <v>2053.0029940000004</v>
      </c>
      <c r="BD73" s="224">
        <f>Quarterly!GT69</f>
        <v>1990.7928469999995</v>
      </c>
      <c r="BE73" s="584">
        <f>BD73/BC73-1</f>
        <v>-0.030302024488913615</v>
      </c>
    </row>
    <row r="74" spans="1:57" ht="15.75">
      <c r="A74" s="100" t="s">
        <v>99</v>
      </c>
      <c r="B74" s="100" t="s">
        <v>93</v>
      </c>
      <c r="C74" s="217">
        <f>C137+C185</f>
        <v>131.9</v>
      </c>
      <c r="D74" s="217">
        <f aca="true" t="shared" si="72" ref="D74:M74">D137+D185</f>
        <v>91.5</v>
      </c>
      <c r="E74" s="217">
        <f t="shared" si="72"/>
        <v>94.36617</v>
      </c>
      <c r="F74" s="217">
        <f t="shared" si="72"/>
        <v>80.8209</v>
      </c>
      <c r="G74" s="217">
        <f t="shared" si="72"/>
        <v>62.5795</v>
      </c>
      <c r="H74" s="217">
        <f t="shared" si="72"/>
        <v>56.6</v>
      </c>
      <c r="I74" s="217">
        <f t="shared" si="72"/>
        <v>78.1</v>
      </c>
      <c r="J74" s="217">
        <f t="shared" si="72"/>
        <v>99.96600000000001</v>
      </c>
      <c r="K74" s="217">
        <f t="shared" si="72"/>
        <v>104.00577000000001</v>
      </c>
      <c r="L74" s="217">
        <f t="shared" si="72"/>
        <v>118.8</v>
      </c>
      <c r="M74" s="217">
        <f t="shared" si="72"/>
        <v>86.63770099999999</v>
      </c>
      <c r="N74" s="217">
        <f t="shared" si="69"/>
        <v>169.13878</v>
      </c>
      <c r="O74" s="217">
        <f t="shared" si="69"/>
        <v>687.95567</v>
      </c>
      <c r="P74" s="525">
        <f t="shared" si="69"/>
        <v>355.344195</v>
      </c>
      <c r="Q74" s="525">
        <f t="shared" si="69"/>
        <v>407.727348</v>
      </c>
      <c r="R74" s="525">
        <f t="shared" si="69"/>
        <v>213.32797499999998</v>
      </c>
      <c r="S74" s="525">
        <f t="shared" si="69"/>
        <v>338.738085</v>
      </c>
      <c r="T74" s="525">
        <f t="shared" si="69"/>
        <v>321.409034</v>
      </c>
      <c r="U74" s="525">
        <f>U137+U185</f>
        <v>210.75113999999996</v>
      </c>
      <c r="V74" s="428"/>
      <c r="W74" s="288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574"/>
      <c r="AR74" s="129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584"/>
    </row>
    <row r="75" spans="1:57" ht="15.75">
      <c r="A75" s="117" t="s">
        <v>61</v>
      </c>
      <c r="B75" s="117" t="s">
        <v>62</v>
      </c>
      <c r="C75" s="222">
        <f>C138+C186</f>
        <v>411.37</v>
      </c>
      <c r="D75" s="222">
        <f aca="true" t="shared" si="73" ref="D75:M75">D138+D186</f>
        <v>413.63</v>
      </c>
      <c r="E75" s="222">
        <f t="shared" si="73"/>
        <v>449.778997</v>
      </c>
      <c r="F75" s="222">
        <f t="shared" si="73"/>
        <v>448.872633</v>
      </c>
      <c r="G75" s="222">
        <f t="shared" si="73"/>
        <v>450.015</v>
      </c>
      <c r="H75" s="222">
        <f t="shared" si="73"/>
        <v>449.2</v>
      </c>
      <c r="I75" s="222">
        <f t="shared" si="73"/>
        <v>458.8</v>
      </c>
      <c r="J75" s="222">
        <f t="shared" si="73"/>
        <v>571.42</v>
      </c>
      <c r="K75" s="222">
        <f t="shared" si="73"/>
        <v>655.7</v>
      </c>
      <c r="L75" s="222">
        <f t="shared" si="73"/>
        <v>645.6</v>
      </c>
      <c r="M75" s="222">
        <f t="shared" si="73"/>
        <v>585.1</v>
      </c>
      <c r="N75" s="222">
        <f t="shared" si="69"/>
        <v>762.46576</v>
      </c>
      <c r="O75" s="222">
        <f t="shared" si="69"/>
        <v>882.49735</v>
      </c>
      <c r="P75" s="526">
        <f t="shared" si="69"/>
        <v>1015.2796000000001</v>
      </c>
      <c r="Q75" s="526">
        <f t="shared" si="69"/>
        <v>1252.94609246</v>
      </c>
      <c r="R75" s="526">
        <f t="shared" si="69"/>
        <v>1180.1885300000001</v>
      </c>
      <c r="S75" s="526">
        <f t="shared" si="69"/>
        <v>1462.5937</v>
      </c>
      <c r="T75" s="526">
        <f t="shared" si="69"/>
        <v>1822.39613</v>
      </c>
      <c r="U75" s="526">
        <f>U138+U186</f>
        <v>1928.8356999999999</v>
      </c>
      <c r="V75" s="428">
        <f>U75/T75-1</f>
        <v>0.05840638500477935</v>
      </c>
      <c r="W75" s="288"/>
      <c r="X75" s="211">
        <f>X138+X186</f>
        <v>354.33599999999996</v>
      </c>
      <c r="Y75" s="211">
        <f aca="true" t="shared" si="74" ref="Y75:AH75">Y138+Y186</f>
        <v>351.522</v>
      </c>
      <c r="Z75" s="211">
        <f t="shared" si="74"/>
        <v>351.76480000000004</v>
      </c>
      <c r="AA75" s="211">
        <f t="shared" si="74"/>
        <v>246.87213300000002</v>
      </c>
      <c r="AB75" s="211">
        <f t="shared" si="74"/>
        <v>262.608258</v>
      </c>
      <c r="AC75" s="211">
        <f t="shared" si="74"/>
        <v>195.6</v>
      </c>
      <c r="AD75" s="211">
        <f t="shared" si="74"/>
        <v>178.5</v>
      </c>
      <c r="AE75" s="211">
        <f t="shared" si="74"/>
        <v>242.59334</v>
      </c>
      <c r="AF75" s="211">
        <f t="shared" si="74"/>
        <v>290.9</v>
      </c>
      <c r="AG75" s="211">
        <f t="shared" si="74"/>
        <v>230.4</v>
      </c>
      <c r="AH75" s="211">
        <f t="shared" si="74"/>
        <v>189.0271</v>
      </c>
      <c r="AI75" s="211">
        <f aca="true" t="shared" si="75" ref="AI75:AN75">AI138+AI186</f>
        <v>281.75358</v>
      </c>
      <c r="AJ75" s="211">
        <f t="shared" si="75"/>
        <v>454.735348</v>
      </c>
      <c r="AK75" s="211">
        <f t="shared" si="75"/>
        <v>412.28260000000006</v>
      </c>
      <c r="AL75" s="211">
        <f t="shared" si="75"/>
        <v>530.63206</v>
      </c>
      <c r="AM75" s="211">
        <f t="shared" si="75"/>
        <v>687.103811</v>
      </c>
      <c r="AN75" s="211">
        <f t="shared" si="75"/>
        <v>836.056988</v>
      </c>
      <c r="AO75" s="211">
        <f>AO138+AO186</f>
        <v>1312.700195</v>
      </c>
      <c r="AP75" s="211">
        <f>AP138+AP186</f>
        <v>1411.123572</v>
      </c>
      <c r="AQ75" s="575">
        <f>AP75/AO75-1</f>
        <v>0.07497780329041559</v>
      </c>
      <c r="AS75" s="224"/>
      <c r="AT75" s="224">
        <f>Quarterly!FP71</f>
        <v>282.7</v>
      </c>
      <c r="AU75" s="224">
        <f>Quarterly!FS71</f>
        <v>236.9</v>
      </c>
      <c r="AV75" s="224">
        <f>Quarterly!FV71</f>
        <v>190.54727999999994</v>
      </c>
      <c r="AW75" s="224">
        <f>Quarterly!FY71</f>
        <v>298.69105</v>
      </c>
      <c r="AX75" s="224">
        <f>Quarterly!GB71</f>
        <v>450.42708400000004</v>
      </c>
      <c r="AY75" s="224">
        <f>Quarterly!GE71</f>
        <v>405.86877000000004</v>
      </c>
      <c r="AZ75" s="224">
        <f>Quarterly!GH71</f>
        <v>526.158294</v>
      </c>
      <c r="BA75" s="224">
        <f>Quarterly!GK71</f>
        <v>642.9571609999999</v>
      </c>
      <c r="BB75" s="224">
        <f>Quarterly!GN71</f>
        <v>879.503605</v>
      </c>
      <c r="BC75" s="224">
        <f>Quarterly!GQ71</f>
        <v>1350.830067</v>
      </c>
      <c r="BD75" s="224">
        <f>Quarterly!GT71</f>
        <v>1412.7255020000002</v>
      </c>
      <c r="BE75" s="584">
        <f>BD75/BC75-1</f>
        <v>0.045820297098850604</v>
      </c>
    </row>
    <row r="76" spans="1:57" ht="15.75">
      <c r="A76" s="100" t="s">
        <v>99</v>
      </c>
      <c r="B76" s="100" t="s">
        <v>93</v>
      </c>
      <c r="C76" s="217">
        <f>C139+C187</f>
        <v>0</v>
      </c>
      <c r="D76" s="217">
        <f aca="true" t="shared" si="76" ref="D76:M76">D139+D187</f>
        <v>0</v>
      </c>
      <c r="E76" s="217">
        <f t="shared" si="76"/>
        <v>100.143</v>
      </c>
      <c r="F76" s="217">
        <f t="shared" si="76"/>
        <v>200.151</v>
      </c>
      <c r="G76" s="217">
        <f t="shared" si="76"/>
        <v>186.4221</v>
      </c>
      <c r="H76" s="217">
        <f t="shared" si="76"/>
        <v>256.6</v>
      </c>
      <c r="I76" s="217">
        <f t="shared" si="76"/>
        <v>279.9</v>
      </c>
      <c r="J76" s="217">
        <f t="shared" si="76"/>
        <v>326.3931</v>
      </c>
      <c r="K76" s="217">
        <f t="shared" si="76"/>
        <v>364.4</v>
      </c>
      <c r="L76" s="217">
        <f t="shared" si="76"/>
        <v>417</v>
      </c>
      <c r="M76" s="217">
        <f t="shared" si="76"/>
        <v>394.605</v>
      </c>
      <c r="N76" s="217">
        <f t="shared" si="69"/>
        <v>481.61947999999995</v>
      </c>
      <c r="O76" s="217">
        <f t="shared" si="69"/>
        <v>428.72545</v>
      </c>
      <c r="P76" s="525">
        <f t="shared" si="69"/>
        <v>602.3306</v>
      </c>
      <c r="Q76" s="525">
        <f t="shared" si="69"/>
        <v>718.828804</v>
      </c>
      <c r="R76" s="525">
        <f t="shared" si="69"/>
        <v>476.797</v>
      </c>
      <c r="S76" s="525">
        <f t="shared" si="69"/>
        <v>582.3199999999999</v>
      </c>
      <c r="T76" s="525">
        <f t="shared" si="69"/>
        <v>524.9048</v>
      </c>
      <c r="U76" s="525">
        <f>U139+U187</f>
        <v>472.85</v>
      </c>
      <c r="V76" s="428"/>
      <c r="W76" s="288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574"/>
      <c r="AR76" s="129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584"/>
    </row>
    <row r="77" spans="1:57" ht="15.75">
      <c r="A77" s="566" t="s">
        <v>271</v>
      </c>
      <c r="B77" s="566" t="s">
        <v>270</v>
      </c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526"/>
      <c r="Q77" s="526">
        <f>Q140</f>
        <v>548.8380924600001</v>
      </c>
      <c r="R77" s="526">
        <f>R140</f>
        <v>484.69151</v>
      </c>
      <c r="S77" s="526">
        <f>S140</f>
        <v>399.75710100000003</v>
      </c>
      <c r="T77" s="526">
        <f>T140</f>
        <v>661.5271299999999</v>
      </c>
      <c r="U77" s="526">
        <f>U140</f>
        <v>565.4817</v>
      </c>
      <c r="V77" s="428">
        <f>U77/T77-1</f>
        <v>-0.14518743925135758</v>
      </c>
      <c r="W77" s="288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11"/>
      <c r="AL77" s="211">
        <f>AL140</f>
        <v>530.63206</v>
      </c>
      <c r="AM77" s="211">
        <f>AM140</f>
        <v>468.597901</v>
      </c>
      <c r="AN77" s="211">
        <f>AN140</f>
        <v>362.59955500000007</v>
      </c>
      <c r="AO77" s="211">
        <f>AO140</f>
        <v>610.095935</v>
      </c>
      <c r="AP77" s="211">
        <f>AP140</f>
        <v>539.6536820000001</v>
      </c>
      <c r="AQ77" s="575">
        <f>AP77/AO77-1</f>
        <v>-0.1154609446791347</v>
      </c>
      <c r="AR77" s="129"/>
      <c r="AS77" s="221"/>
      <c r="AT77" s="221"/>
      <c r="AU77" s="221"/>
      <c r="AV77" s="221"/>
      <c r="AW77" s="221"/>
      <c r="AX77" s="221"/>
      <c r="AY77" s="221"/>
      <c r="AZ77" s="221">
        <f>AZ75</f>
        <v>526.158294</v>
      </c>
      <c r="BA77" s="224">
        <f>Quarterly!GK73</f>
        <v>463.989035</v>
      </c>
      <c r="BB77" s="224">
        <f>Quarterly!GN73</f>
        <v>375.3841759999999</v>
      </c>
      <c r="BC77" s="224">
        <f>Quarterly!GQ73</f>
        <v>642.37915</v>
      </c>
      <c r="BD77" s="224">
        <f>Quarterly!GT73</f>
        <v>541.098392</v>
      </c>
      <c r="BE77" s="584">
        <f>BD77/BC77-1</f>
        <v>-0.15766507676969277</v>
      </c>
    </row>
    <row r="78" spans="1:57" ht="15.75">
      <c r="A78" s="100" t="s">
        <v>99</v>
      </c>
      <c r="B78" s="100" t="s">
        <v>93</v>
      </c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525"/>
      <c r="Q78" s="525">
        <f aca="true" t="shared" si="77" ref="Q78:R80">Q141</f>
        <v>14.72</v>
      </c>
      <c r="R78" s="525">
        <f t="shared" si="77"/>
        <v>16.049010000000003</v>
      </c>
      <c r="S78" s="525">
        <f aca="true" t="shared" si="78" ref="S78:T80">S141</f>
        <v>16.585</v>
      </c>
      <c r="T78" s="525">
        <f t="shared" si="78"/>
        <v>44.602799999999995</v>
      </c>
      <c r="U78" s="525">
        <f>U141</f>
        <v>39.232488000000004</v>
      </c>
      <c r="V78" s="428"/>
      <c r="W78" s="288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574"/>
      <c r="AR78" s="129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584"/>
    </row>
    <row r="79" spans="1:57" ht="15.75">
      <c r="A79" s="566" t="s">
        <v>272</v>
      </c>
      <c r="B79" s="566" t="s">
        <v>269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526"/>
      <c r="Q79" s="526">
        <f t="shared" si="77"/>
        <v>0</v>
      </c>
      <c r="R79" s="526">
        <f t="shared" si="77"/>
        <v>260.78402</v>
      </c>
      <c r="S79" s="526">
        <f t="shared" si="78"/>
        <v>528.586079</v>
      </c>
      <c r="T79" s="526">
        <f t="shared" si="78"/>
        <v>691.956</v>
      </c>
      <c r="U79" s="526">
        <f>U142</f>
        <v>942.54</v>
      </c>
      <c r="V79" s="428">
        <f>U79/T79-1</f>
        <v>0.36213863309227756</v>
      </c>
      <c r="W79" s="288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11"/>
      <c r="AL79" s="211">
        <f>AL142</f>
        <v>0</v>
      </c>
      <c r="AM79" s="211">
        <f>AM142</f>
        <v>218.50591</v>
      </c>
      <c r="AN79" s="211">
        <f>AN142</f>
        <v>473.45743300000004</v>
      </c>
      <c r="AO79" s="211">
        <f>AO142</f>
        <v>702.60426</v>
      </c>
      <c r="AP79" s="211">
        <f>AP142</f>
        <v>871.46989</v>
      </c>
      <c r="AQ79" s="575">
        <f>AP79/AO79-1</f>
        <v>0.240342451097578</v>
      </c>
      <c r="AR79" s="129"/>
      <c r="AS79" s="221"/>
      <c r="AT79" s="221"/>
      <c r="AU79" s="221"/>
      <c r="AV79" s="221"/>
      <c r="AW79" s="221"/>
      <c r="AX79" s="221"/>
      <c r="AY79" s="221"/>
      <c r="AZ79" s="221">
        <v>0</v>
      </c>
      <c r="BA79" s="224">
        <f>Quarterly!GK75</f>
        <v>178.96812599999996</v>
      </c>
      <c r="BB79" s="224">
        <f>Quarterly!GN75</f>
        <v>504.1194290000001</v>
      </c>
      <c r="BC79" s="224">
        <f>Quarterly!GQ75</f>
        <v>708.4509170000001</v>
      </c>
      <c r="BD79" s="224">
        <f>Quarterly!GT75</f>
        <v>871.6271100000001</v>
      </c>
      <c r="BE79" s="584">
        <f>BD79/BC79-1</f>
        <v>0.2303281555354384</v>
      </c>
    </row>
    <row r="80" spans="1:57" ht="15.75">
      <c r="A80" s="100" t="s">
        <v>99</v>
      </c>
      <c r="B80" s="100" t="s">
        <v>93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525"/>
      <c r="Q80" s="525">
        <f t="shared" si="77"/>
        <v>0</v>
      </c>
      <c r="R80" s="525">
        <f t="shared" si="77"/>
        <v>26.034989999999997</v>
      </c>
      <c r="S80" s="525">
        <f t="shared" si="78"/>
        <v>31.683000000000003</v>
      </c>
      <c r="T80" s="525">
        <f t="shared" si="78"/>
        <v>11.389</v>
      </c>
      <c r="U80" s="525">
        <f>U143</f>
        <v>12.800510000000001</v>
      </c>
      <c r="V80" s="428"/>
      <c r="W80" s="288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574"/>
      <c r="AR80" s="129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584"/>
    </row>
    <row r="81" spans="1:57" ht="15.75">
      <c r="A81" s="116" t="s">
        <v>123</v>
      </c>
      <c r="B81" s="117" t="s">
        <v>64</v>
      </c>
      <c r="C81" s="222">
        <f>C144+C188</f>
        <v>0</v>
      </c>
      <c r="D81" s="222">
        <f aca="true" t="shared" si="79" ref="D81:M81">D144+D188</f>
        <v>0</v>
      </c>
      <c r="E81" s="222">
        <f t="shared" si="79"/>
        <v>1.099</v>
      </c>
      <c r="F81" s="222">
        <f t="shared" si="79"/>
        <v>264.12153</v>
      </c>
      <c r="G81" s="222">
        <f t="shared" si="79"/>
        <v>317.6211</v>
      </c>
      <c r="H81" s="222">
        <f t="shared" si="79"/>
        <v>513.5</v>
      </c>
      <c r="I81" s="222">
        <f t="shared" si="79"/>
        <v>549</v>
      </c>
      <c r="J81" s="222">
        <f t="shared" si="79"/>
        <v>688.70388</v>
      </c>
      <c r="K81" s="222">
        <f t="shared" si="79"/>
        <v>807</v>
      </c>
      <c r="L81" s="222">
        <f t="shared" si="79"/>
        <v>936.8</v>
      </c>
      <c r="M81" s="222">
        <f t="shared" si="79"/>
        <v>859.5842</v>
      </c>
      <c r="N81" s="222">
        <f aca="true" t="shared" si="80" ref="N81:S81">N144+N188</f>
        <v>1124.7236</v>
      </c>
      <c r="O81" s="222">
        <f t="shared" si="80"/>
        <v>949.7779</v>
      </c>
      <c r="P81" s="526">
        <f t="shared" si="80"/>
        <v>1421.665</v>
      </c>
      <c r="Q81" s="526">
        <f t="shared" si="80"/>
        <v>1728.9534</v>
      </c>
      <c r="R81" s="526">
        <f t="shared" si="80"/>
        <v>1096.4060399999998</v>
      </c>
      <c r="S81" s="526">
        <f t="shared" si="80"/>
        <v>1354.3368</v>
      </c>
      <c r="T81" s="526">
        <f>T144+T188</f>
        <v>1264.1203</v>
      </c>
      <c r="U81" s="526">
        <f>U144+U188</f>
        <v>1107.2223000000001</v>
      </c>
      <c r="V81" s="428">
        <f>U81/T81-1</f>
        <v>-0.12411635190100179</v>
      </c>
      <c r="W81" s="288"/>
      <c r="X81" s="211">
        <f>X144+X188</f>
        <v>0</v>
      </c>
      <c r="Y81" s="211">
        <f aca="true" t="shared" si="81" ref="Y81:AH81">Y144+Y188</f>
        <v>0</v>
      </c>
      <c r="Z81" s="211">
        <f t="shared" si="81"/>
        <v>0</v>
      </c>
      <c r="AA81" s="211">
        <f t="shared" si="81"/>
        <v>261.41853</v>
      </c>
      <c r="AB81" s="211">
        <f t="shared" si="81"/>
        <v>307.097</v>
      </c>
      <c r="AC81" s="211">
        <f t="shared" si="81"/>
        <v>517.9</v>
      </c>
      <c r="AD81" s="211">
        <f t="shared" si="81"/>
        <v>550.6</v>
      </c>
      <c r="AE81" s="211">
        <f t="shared" si="81"/>
        <v>682.5295</v>
      </c>
      <c r="AF81" s="211">
        <f t="shared" si="81"/>
        <v>804.4</v>
      </c>
      <c r="AG81" s="211">
        <f t="shared" si="81"/>
        <v>943.4</v>
      </c>
      <c r="AH81" s="211">
        <f t="shared" si="81"/>
        <v>859.7183999999997</v>
      </c>
      <c r="AI81" s="211">
        <f aca="true" t="shared" si="82" ref="AI81:AN81">AI144+AI188</f>
        <v>1128.38489</v>
      </c>
      <c r="AJ81" s="211">
        <f t="shared" si="82"/>
        <v>946.0113</v>
      </c>
      <c r="AK81" s="211">
        <f t="shared" si="82"/>
        <v>1409.35052</v>
      </c>
      <c r="AL81" s="211">
        <f t="shared" si="82"/>
        <v>1732.76227</v>
      </c>
      <c r="AM81" s="211">
        <f t="shared" si="82"/>
        <v>1103.87247</v>
      </c>
      <c r="AN81" s="211">
        <f t="shared" si="82"/>
        <v>1337.87441</v>
      </c>
      <c r="AO81" s="211">
        <f>AO144+AO188</f>
        <v>1260.1643800000002</v>
      </c>
      <c r="AP81" s="211">
        <f>AP144+AP188</f>
        <v>1091.107137</v>
      </c>
      <c r="AQ81" s="575">
        <f>AP81/AO81-1</f>
        <v>-0.13415491318680206</v>
      </c>
      <c r="AS81" s="224"/>
      <c r="AT81" s="224">
        <f>Quarterly!FP77</f>
        <v>766.1</v>
      </c>
      <c r="AU81" s="224">
        <f>Quarterly!FS77</f>
        <v>967.3</v>
      </c>
      <c r="AV81" s="224">
        <f>Quarterly!FV77</f>
        <v>865.742111</v>
      </c>
      <c r="AW81" s="224">
        <f>Quarterly!FY77</f>
        <v>934.8180596</v>
      </c>
      <c r="AX81" s="224">
        <f>Quarterly!GB77</f>
        <v>1036.1458300000004</v>
      </c>
      <c r="AY81" s="224">
        <f>Quarterly!GE77</f>
        <v>1221.2041868999997</v>
      </c>
      <c r="AZ81" s="224">
        <f>Quarterly!GH77</f>
        <v>1748.5568089999997</v>
      </c>
      <c r="BA81" s="224">
        <f>Quarterly!GK77</f>
        <v>1154.7804500000004</v>
      </c>
      <c r="BB81" s="224">
        <f>Quarterly!GN77</f>
        <v>1432.1952299999996</v>
      </c>
      <c r="BC81" s="224">
        <f>Quarterly!GQ77</f>
        <v>1415.831479</v>
      </c>
      <c r="BD81" s="224">
        <f>Quarterly!GT77</f>
        <v>1108.4825388000002</v>
      </c>
      <c r="BE81" s="584">
        <f>BD81/BC81-1</f>
        <v>-0.21708017144602543</v>
      </c>
    </row>
    <row r="82" spans="1:57" ht="15.75">
      <c r="A82" s="116" t="s">
        <v>283</v>
      </c>
      <c r="B82" s="116" t="s">
        <v>284</v>
      </c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526"/>
      <c r="Q82" s="526"/>
      <c r="R82" s="526"/>
      <c r="S82" s="526"/>
      <c r="T82" s="526">
        <f>T145</f>
        <v>8.777999999999999</v>
      </c>
      <c r="U82" s="526">
        <f>U145</f>
        <v>98.637</v>
      </c>
      <c r="V82" s="428" t="s">
        <v>290</v>
      </c>
      <c r="W82" s="288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>
        <f>AO145</f>
        <v>5.218999999999999</v>
      </c>
      <c r="AP82" s="211">
        <f>AP145</f>
        <v>85.750935</v>
      </c>
      <c r="AQ82" s="575" t="s">
        <v>290</v>
      </c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>
        <f>Quarterly!GQ78</f>
        <v>5.218999999999999</v>
      </c>
      <c r="BD82" s="224">
        <f>Quarterly!GT78</f>
        <v>84.89083500000001</v>
      </c>
      <c r="BE82" s="584" t="s">
        <v>290</v>
      </c>
    </row>
    <row r="83" spans="1:57" ht="15.75">
      <c r="A83" s="70" t="s">
        <v>124</v>
      </c>
      <c r="B83" s="70" t="s">
        <v>65</v>
      </c>
      <c r="C83" s="144">
        <f>C85+C87+C88</f>
        <v>2098.32</v>
      </c>
      <c r="D83" s="144">
        <f aca="true" t="shared" si="83" ref="D83:M83">D85+D87+D88</f>
        <v>1854.309</v>
      </c>
      <c r="E83" s="144">
        <f t="shared" si="83"/>
        <v>1914.9563050000002</v>
      </c>
      <c r="F83" s="144">
        <f t="shared" si="83"/>
        <v>1538.49505</v>
      </c>
      <c r="G83" s="144">
        <f t="shared" si="83"/>
        <v>1680.02798</v>
      </c>
      <c r="H83" s="144">
        <f t="shared" si="83"/>
        <v>1755.7999999999997</v>
      </c>
      <c r="I83" s="144">
        <f t="shared" si="83"/>
        <v>1851.6</v>
      </c>
      <c r="J83" s="144">
        <f t="shared" si="83"/>
        <v>1731.8</v>
      </c>
      <c r="K83" s="144">
        <f t="shared" si="83"/>
        <v>1881.4452750000003</v>
      </c>
      <c r="L83" s="144">
        <f t="shared" si="83"/>
        <v>1815.1000000000001</v>
      </c>
      <c r="M83" s="144">
        <f t="shared" si="83"/>
        <v>1904.739</v>
      </c>
      <c r="N83" s="144">
        <f aca="true" t="shared" si="84" ref="N83:S83">N85+N87+N88</f>
        <v>1953.2807799999998</v>
      </c>
      <c r="O83" s="144">
        <f t="shared" si="84"/>
        <v>2894.2879600000006</v>
      </c>
      <c r="P83" s="524">
        <f t="shared" si="84"/>
        <v>2519.0386399999998</v>
      </c>
      <c r="Q83" s="524">
        <f t="shared" si="84"/>
        <v>2025.6038400000002</v>
      </c>
      <c r="R83" s="524">
        <f t="shared" si="84"/>
        <v>2371.75772</v>
      </c>
      <c r="S83" s="524">
        <f t="shared" si="84"/>
        <v>2624.9761999999996</v>
      </c>
      <c r="T83" s="524">
        <f>T85+T87+T88</f>
        <v>2361.604764</v>
      </c>
      <c r="U83" s="524">
        <f>U85+U87+U88</f>
        <v>2447.90125</v>
      </c>
      <c r="V83" s="443">
        <f>U83/T83-1</f>
        <v>0.03654145999173619</v>
      </c>
      <c r="W83" s="288"/>
      <c r="X83" s="213">
        <f>X85+X87+X88</f>
        <v>2007.211</v>
      </c>
      <c r="Y83" s="213">
        <f aca="true" t="shared" si="85" ref="Y83:AH83">Y85+Y87+Y88</f>
        <v>1806.2540000000001</v>
      </c>
      <c r="Z83" s="213">
        <f t="shared" si="85"/>
        <v>1868.140368</v>
      </c>
      <c r="AA83" s="213">
        <f t="shared" si="85"/>
        <v>1459.328554</v>
      </c>
      <c r="AB83" s="213">
        <f t="shared" si="85"/>
        <v>1690.384729</v>
      </c>
      <c r="AC83" s="213">
        <f t="shared" si="85"/>
        <v>1699.7</v>
      </c>
      <c r="AD83" s="213">
        <f t="shared" si="85"/>
        <v>1848.9004040000002</v>
      </c>
      <c r="AE83" s="213">
        <f t="shared" si="85"/>
        <v>1670.687866</v>
      </c>
      <c r="AF83" s="213">
        <f t="shared" si="85"/>
        <v>1861.007064</v>
      </c>
      <c r="AG83" s="213">
        <f t="shared" si="85"/>
        <v>1786.3</v>
      </c>
      <c r="AH83" s="213">
        <f t="shared" si="85"/>
        <v>1864.7833099999987</v>
      </c>
      <c r="AI83" s="213">
        <f aca="true" t="shared" si="86" ref="AI83:AN83">AI85+AI87+AI88</f>
        <v>1934.472302</v>
      </c>
      <c r="AJ83" s="213">
        <f t="shared" si="86"/>
        <v>2802.3626999999997</v>
      </c>
      <c r="AK83" s="213">
        <f t="shared" si="86"/>
        <v>2468.8125059999998</v>
      </c>
      <c r="AL83" s="213">
        <f t="shared" si="86"/>
        <v>1997.8688099999995</v>
      </c>
      <c r="AM83" s="213">
        <f t="shared" si="86"/>
        <v>2310.0903160000003</v>
      </c>
      <c r="AN83" s="213">
        <f t="shared" si="86"/>
        <v>2497.7972455999998</v>
      </c>
      <c r="AO83" s="213">
        <f>AO85+AO87+AO88</f>
        <v>2243.7313240000003</v>
      </c>
      <c r="AP83" s="213">
        <f>AP85+AP87+AP88</f>
        <v>2388.66871</v>
      </c>
      <c r="AQ83" s="573">
        <f>AP83/AO83-1</f>
        <v>0.06459658714467342</v>
      </c>
      <c r="AS83" s="215">
        <f aca="true" t="shared" si="87" ref="AS83:AX83">AS85+AS88</f>
        <v>0</v>
      </c>
      <c r="AT83" s="215">
        <f t="shared" si="87"/>
        <v>1902.239526</v>
      </c>
      <c r="AU83" s="215">
        <f t="shared" si="87"/>
        <v>1805.3056495000003</v>
      </c>
      <c r="AV83" s="215">
        <f t="shared" si="87"/>
        <v>1781.1152899999997</v>
      </c>
      <c r="AW83" s="215">
        <f t="shared" si="87"/>
        <v>2059.5460619999994</v>
      </c>
      <c r="AX83" s="215">
        <f t="shared" si="87"/>
        <v>2760.9591919999993</v>
      </c>
      <c r="AY83" s="215">
        <f>AY85+AY88</f>
        <v>2472.923579500001</v>
      </c>
      <c r="AZ83" s="215">
        <f>AZ85+AZ88</f>
        <v>2097.7393230000002</v>
      </c>
      <c r="BA83" s="215">
        <f>BA85+BA88</f>
        <v>2270.8695450000005</v>
      </c>
      <c r="BB83" s="215">
        <f>BB85+BB88</f>
        <v>2459.4776095999996</v>
      </c>
      <c r="BC83" s="215">
        <f>BC85+BC88</f>
        <v>2360.0405259999998</v>
      </c>
      <c r="BD83" s="215">
        <f>BD85+BD88</f>
        <v>2368.6094780000008</v>
      </c>
      <c r="BE83" s="583">
        <f>BD83/BC83-1</f>
        <v>0.0036308495153363207</v>
      </c>
    </row>
    <row r="84" spans="1:57" ht="15.75">
      <c r="A84" s="100" t="s">
        <v>99</v>
      </c>
      <c r="B84" s="100" t="s">
        <v>93</v>
      </c>
      <c r="C84" s="217">
        <f>C86</f>
        <v>70.1</v>
      </c>
      <c r="D84" s="217">
        <f aca="true" t="shared" si="88" ref="D84:M84">D86</f>
        <v>58</v>
      </c>
      <c r="E84" s="217">
        <f t="shared" si="88"/>
        <v>51.90084</v>
      </c>
      <c r="F84" s="217">
        <f t="shared" si="88"/>
        <v>31.02072</v>
      </c>
      <c r="G84" s="217">
        <f t="shared" si="88"/>
        <v>34.935900000000004</v>
      </c>
      <c r="H84" s="217">
        <f t="shared" si="88"/>
        <v>33.6</v>
      </c>
      <c r="I84" s="217">
        <f t="shared" si="88"/>
        <v>33.2</v>
      </c>
      <c r="J84" s="217">
        <f t="shared" si="88"/>
        <v>35</v>
      </c>
      <c r="K84" s="217">
        <f t="shared" si="88"/>
        <v>39.09272</v>
      </c>
      <c r="L84" s="217">
        <f t="shared" si="88"/>
        <v>35.9</v>
      </c>
      <c r="M84" s="217">
        <f t="shared" si="88"/>
        <v>23.785</v>
      </c>
      <c r="N84" s="217">
        <f aca="true" t="shared" si="89" ref="N84:S84">N86</f>
        <v>22.60897</v>
      </c>
      <c r="O84" s="217">
        <f t="shared" si="89"/>
        <v>75.16946999999999</v>
      </c>
      <c r="P84" s="525">
        <f t="shared" si="89"/>
        <v>44.40844</v>
      </c>
      <c r="Q84" s="525">
        <f t="shared" si="89"/>
        <v>36.290020999999996</v>
      </c>
      <c r="R84" s="525">
        <f t="shared" si="89"/>
        <v>52.434971</v>
      </c>
      <c r="S84" s="525">
        <f t="shared" si="89"/>
        <v>61.34110999999999</v>
      </c>
      <c r="T84" s="525">
        <f>T86</f>
        <v>41.030877000000004</v>
      </c>
      <c r="U84" s="525">
        <f>U86</f>
        <v>25.210150000000002</v>
      </c>
      <c r="V84" s="428"/>
      <c r="W84" s="28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574"/>
      <c r="AR84" s="12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584"/>
    </row>
    <row r="85" spans="1:57" ht="15.75">
      <c r="A85" s="116" t="s">
        <v>193</v>
      </c>
      <c r="B85" s="117" t="s">
        <v>67</v>
      </c>
      <c r="C85" s="222">
        <f>C148+C191</f>
        <v>1745.092</v>
      </c>
      <c r="D85" s="222">
        <f aca="true" t="shared" si="90" ref="D85:M85">D148+D191</f>
        <v>1673.108</v>
      </c>
      <c r="E85" s="222">
        <f t="shared" si="90"/>
        <v>1624.771305</v>
      </c>
      <c r="F85" s="222">
        <f t="shared" si="90"/>
        <v>1440.634</v>
      </c>
      <c r="G85" s="222">
        <f t="shared" si="90"/>
        <v>1589.8375</v>
      </c>
      <c r="H85" s="222">
        <f t="shared" si="90"/>
        <v>1674.6999999999998</v>
      </c>
      <c r="I85" s="222">
        <f t="shared" si="90"/>
        <v>1761.1</v>
      </c>
      <c r="J85" s="222">
        <f t="shared" si="90"/>
        <v>1643.3999999999999</v>
      </c>
      <c r="K85" s="222">
        <f t="shared" si="90"/>
        <v>1782.1325000000002</v>
      </c>
      <c r="L85" s="222">
        <f t="shared" si="90"/>
        <v>1726.9</v>
      </c>
      <c r="M85" s="222">
        <f t="shared" si="90"/>
        <v>1848.297</v>
      </c>
      <c r="N85" s="222">
        <f aca="true" t="shared" si="91" ref="N85:T88">N148+N191</f>
        <v>1878.2779799999998</v>
      </c>
      <c r="O85" s="222">
        <f t="shared" si="91"/>
        <v>2219.3160000000003</v>
      </c>
      <c r="P85" s="526">
        <f t="shared" si="91"/>
        <v>2329.011</v>
      </c>
      <c r="Q85" s="526">
        <f t="shared" si="91"/>
        <v>1892.188</v>
      </c>
      <c r="R85" s="526">
        <f t="shared" si="91"/>
        <v>2235.99186</v>
      </c>
      <c r="S85" s="526">
        <f t="shared" si="91"/>
        <v>2406.421</v>
      </c>
      <c r="T85" s="526">
        <f t="shared" si="91"/>
        <v>2225.896</v>
      </c>
      <c r="U85" s="526">
        <f>U148+U191</f>
        <v>2367.772</v>
      </c>
      <c r="V85" s="428">
        <f>U85/T85-1</f>
        <v>0.0637388269712511</v>
      </c>
      <c r="W85" s="288"/>
      <c r="X85" s="211">
        <f>X148+X191</f>
        <v>1651.518</v>
      </c>
      <c r="Y85" s="211">
        <f aca="true" t="shared" si="92" ref="Y85:AH85">Y148+Y191</f>
        <v>1622.804</v>
      </c>
      <c r="Z85" s="211">
        <f t="shared" si="92"/>
        <v>1587.209268</v>
      </c>
      <c r="AA85" s="211">
        <f t="shared" si="92"/>
        <v>1350.013854</v>
      </c>
      <c r="AB85" s="211">
        <f t="shared" si="92"/>
        <v>1597.861949</v>
      </c>
      <c r="AC85" s="211">
        <f t="shared" si="92"/>
        <v>1625.6000000000001</v>
      </c>
      <c r="AD85" s="211">
        <f t="shared" si="92"/>
        <v>1755.3944040000001</v>
      </c>
      <c r="AE85" s="211">
        <f t="shared" si="92"/>
        <v>1579.487866</v>
      </c>
      <c r="AF85" s="211">
        <f t="shared" si="92"/>
        <v>1761.407064</v>
      </c>
      <c r="AG85" s="211">
        <f t="shared" si="92"/>
        <v>1697.3</v>
      </c>
      <c r="AH85" s="211">
        <f t="shared" si="92"/>
        <v>1809.2373099999986</v>
      </c>
      <c r="AI85" s="211">
        <f aca="true" t="shared" si="93" ref="AI85:AN85">AI148+AI191</f>
        <v>1863.273502</v>
      </c>
      <c r="AJ85" s="211">
        <f t="shared" si="93"/>
        <v>2135.75044</v>
      </c>
      <c r="AK85" s="211">
        <f t="shared" si="93"/>
        <v>2265.8618659999997</v>
      </c>
      <c r="AL85" s="211">
        <f t="shared" si="93"/>
        <v>1868.5123399999995</v>
      </c>
      <c r="AM85" s="211">
        <f t="shared" si="93"/>
        <v>2170.0863360000003</v>
      </c>
      <c r="AN85" s="211">
        <f t="shared" si="93"/>
        <v>2280.9475456</v>
      </c>
      <c r="AO85" s="211">
        <f>AO148+AO191</f>
        <v>2106.6973500000004</v>
      </c>
      <c r="AP85" s="211">
        <f>AP148+AP191</f>
        <v>2308.53946</v>
      </c>
      <c r="AQ85" s="575">
        <f>AP85/AO85-1</f>
        <v>0.0958097327079277</v>
      </c>
      <c r="AS85" s="224"/>
      <c r="AT85" s="224">
        <f>Quarterly!FP81</f>
        <v>1795.539526</v>
      </c>
      <c r="AU85" s="224">
        <f>Quarterly!FS81</f>
        <v>1716.5056495000003</v>
      </c>
      <c r="AV85" s="224">
        <f>Quarterly!FV81</f>
        <v>1725.5002899999997</v>
      </c>
      <c r="AW85" s="224">
        <f>Quarterly!FY81</f>
        <v>1952.8122619999997</v>
      </c>
      <c r="AX85" s="224">
        <f>Quarterly!GB81</f>
        <v>2075.9502919999995</v>
      </c>
      <c r="AY85" s="224">
        <f>Quarterly!GE81</f>
        <v>2243.518679500001</v>
      </c>
      <c r="AZ85" s="224">
        <f>Quarterly!GH81</f>
        <v>1974.3892650000003</v>
      </c>
      <c r="BA85" s="224">
        <f>Quarterly!GK81</f>
        <v>2140.9150000000004</v>
      </c>
      <c r="BB85" s="224">
        <f>Quarterly!GN81</f>
        <v>2237.4090466</v>
      </c>
      <c r="BC85" s="224">
        <f>Quarterly!GQ81</f>
        <v>2209.7908319999997</v>
      </c>
      <c r="BD85" s="224">
        <f>Quarterly!GT81</f>
        <v>2290.7828960000006</v>
      </c>
      <c r="BE85" s="584">
        <f>BD85/BC85-1</f>
        <v>0.03665146168006239</v>
      </c>
    </row>
    <row r="86" spans="1:57" ht="15.75">
      <c r="A86" s="100" t="s">
        <v>99</v>
      </c>
      <c r="B86" s="100" t="s">
        <v>93</v>
      </c>
      <c r="C86" s="217">
        <f>C149+C192</f>
        <v>70.1</v>
      </c>
      <c r="D86" s="217">
        <f aca="true" t="shared" si="94" ref="D86:M86">D149+D192</f>
        <v>58</v>
      </c>
      <c r="E86" s="217">
        <f t="shared" si="94"/>
        <v>51.90084</v>
      </c>
      <c r="F86" s="217">
        <f t="shared" si="94"/>
        <v>31.02072</v>
      </c>
      <c r="G86" s="217">
        <f t="shared" si="94"/>
        <v>34.935900000000004</v>
      </c>
      <c r="H86" s="217">
        <f t="shared" si="94"/>
        <v>33.6</v>
      </c>
      <c r="I86" s="217">
        <f t="shared" si="94"/>
        <v>33.2</v>
      </c>
      <c r="J86" s="217">
        <f t="shared" si="94"/>
        <v>35</v>
      </c>
      <c r="K86" s="217">
        <f t="shared" si="94"/>
        <v>39.09272</v>
      </c>
      <c r="L86" s="217">
        <f t="shared" si="94"/>
        <v>35.9</v>
      </c>
      <c r="M86" s="217">
        <f t="shared" si="94"/>
        <v>23.785</v>
      </c>
      <c r="N86" s="217">
        <f t="shared" si="91"/>
        <v>22.60897</v>
      </c>
      <c r="O86" s="217">
        <f t="shared" si="91"/>
        <v>75.16946999999999</v>
      </c>
      <c r="P86" s="525">
        <f t="shared" si="91"/>
        <v>44.40844</v>
      </c>
      <c r="Q86" s="525">
        <f t="shared" si="91"/>
        <v>36.290020999999996</v>
      </c>
      <c r="R86" s="525">
        <f t="shared" si="91"/>
        <v>52.434971</v>
      </c>
      <c r="S86" s="525">
        <f t="shared" si="91"/>
        <v>61.34110999999999</v>
      </c>
      <c r="T86" s="525">
        <f t="shared" si="91"/>
        <v>41.030877000000004</v>
      </c>
      <c r="U86" s="525">
        <f>U149+U192</f>
        <v>25.210150000000002</v>
      </c>
      <c r="V86" s="428"/>
      <c r="W86" s="288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574"/>
      <c r="AR86" s="129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584"/>
    </row>
    <row r="87" spans="1:57" ht="15.75" hidden="1">
      <c r="A87" s="117" t="s">
        <v>68</v>
      </c>
      <c r="B87" s="117" t="s">
        <v>69</v>
      </c>
      <c r="C87" s="222">
        <f>C150+C193</f>
        <v>135.828</v>
      </c>
      <c r="D87" s="222">
        <f aca="true" t="shared" si="95" ref="D87:M87">D150+D193</f>
        <v>29.801</v>
      </c>
      <c r="E87" s="222">
        <f t="shared" si="95"/>
        <v>136.074</v>
      </c>
      <c r="F87" s="222">
        <f t="shared" si="95"/>
        <v>4.85605</v>
      </c>
      <c r="G87" s="222">
        <f t="shared" si="95"/>
        <v>0</v>
      </c>
      <c r="H87" s="222">
        <f t="shared" si="95"/>
        <v>0</v>
      </c>
      <c r="I87" s="222">
        <f t="shared" si="95"/>
        <v>0</v>
      </c>
      <c r="J87" s="222">
        <f t="shared" si="95"/>
        <v>0</v>
      </c>
      <c r="K87" s="222">
        <f t="shared" si="95"/>
        <v>0</v>
      </c>
      <c r="L87" s="222">
        <f t="shared" si="95"/>
        <v>0</v>
      </c>
      <c r="M87" s="222">
        <f t="shared" si="95"/>
        <v>0</v>
      </c>
      <c r="N87" s="222">
        <f t="shared" si="91"/>
        <v>0</v>
      </c>
      <c r="O87" s="222">
        <f t="shared" si="91"/>
        <v>0</v>
      </c>
      <c r="P87" s="526">
        <f t="shared" si="91"/>
        <v>0</v>
      </c>
      <c r="Q87" s="526">
        <f t="shared" si="91"/>
        <v>0</v>
      </c>
      <c r="R87" s="526">
        <f t="shared" si="91"/>
        <v>0</v>
      </c>
      <c r="S87" s="526">
        <f t="shared" si="91"/>
        <v>0</v>
      </c>
      <c r="T87" s="526">
        <f t="shared" si="91"/>
        <v>0</v>
      </c>
      <c r="U87" s="526">
        <f>U150+U193</f>
        <v>0</v>
      </c>
      <c r="V87" s="428" t="e">
        <f>R87/Q87-1</f>
        <v>#DIV/0!</v>
      </c>
      <c r="W87" s="288"/>
      <c r="X87" s="211">
        <f>X150+X193</f>
        <v>136.493</v>
      </c>
      <c r="Y87" s="211">
        <f aca="true" t="shared" si="96" ref="Y87:AH87">Y150+Y193</f>
        <v>30.15</v>
      </c>
      <c r="Z87" s="211">
        <f t="shared" si="96"/>
        <v>133.0401</v>
      </c>
      <c r="AA87" s="211">
        <f t="shared" si="96"/>
        <v>8.252</v>
      </c>
      <c r="AB87" s="211">
        <f t="shared" si="96"/>
        <v>0</v>
      </c>
      <c r="AC87" s="211">
        <f t="shared" si="96"/>
        <v>0</v>
      </c>
      <c r="AD87" s="211">
        <f t="shared" si="96"/>
        <v>0</v>
      </c>
      <c r="AE87" s="211">
        <f t="shared" si="96"/>
        <v>0</v>
      </c>
      <c r="AF87" s="211">
        <f t="shared" si="96"/>
        <v>0</v>
      </c>
      <c r="AG87" s="211">
        <f t="shared" si="96"/>
        <v>0</v>
      </c>
      <c r="AH87" s="211">
        <f t="shared" si="96"/>
        <v>0</v>
      </c>
      <c r="AI87" s="211">
        <f aca="true" t="shared" si="97" ref="AI87:AN88">AI150+AI193</f>
        <v>0</v>
      </c>
      <c r="AJ87" s="211">
        <f t="shared" si="97"/>
        <v>0</v>
      </c>
      <c r="AK87" s="211">
        <f t="shared" si="97"/>
        <v>0</v>
      </c>
      <c r="AL87" s="211">
        <f t="shared" si="97"/>
        <v>0</v>
      </c>
      <c r="AM87" s="211">
        <f t="shared" si="97"/>
        <v>0</v>
      </c>
      <c r="AN87" s="211">
        <f t="shared" si="97"/>
        <v>0</v>
      </c>
      <c r="AO87" s="211">
        <f>AO150+AO193</f>
        <v>0</v>
      </c>
      <c r="AP87" s="211">
        <f>AP150+AP193</f>
        <v>0</v>
      </c>
      <c r="AQ87" s="575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584"/>
    </row>
    <row r="88" spans="1:61" ht="15.75">
      <c r="A88" s="117" t="s">
        <v>70</v>
      </c>
      <c r="B88" s="116" t="s">
        <v>125</v>
      </c>
      <c r="C88" s="222">
        <f>C151+C194</f>
        <v>217.4</v>
      </c>
      <c r="D88" s="222">
        <f aca="true" t="shared" si="98" ref="D88:M88">D151+D194</f>
        <v>151.4</v>
      </c>
      <c r="E88" s="222">
        <f t="shared" si="98"/>
        <v>154.111</v>
      </c>
      <c r="F88" s="222">
        <f t="shared" si="98"/>
        <v>93.005</v>
      </c>
      <c r="G88" s="222">
        <f t="shared" si="98"/>
        <v>90.19048000000001</v>
      </c>
      <c r="H88" s="222">
        <f t="shared" si="98"/>
        <v>81.1</v>
      </c>
      <c r="I88" s="222">
        <f t="shared" si="98"/>
        <v>90.5</v>
      </c>
      <c r="J88" s="222">
        <f t="shared" si="98"/>
        <v>88.4</v>
      </c>
      <c r="K88" s="222">
        <f t="shared" si="98"/>
        <v>99.312775</v>
      </c>
      <c r="L88" s="222">
        <f t="shared" si="98"/>
        <v>88.2</v>
      </c>
      <c r="M88" s="222">
        <f t="shared" si="98"/>
        <v>56.442</v>
      </c>
      <c r="N88" s="222">
        <f t="shared" si="91"/>
        <v>75.00280000000001</v>
      </c>
      <c r="O88" s="222">
        <f t="shared" si="91"/>
        <v>674.9719600000001</v>
      </c>
      <c r="P88" s="526">
        <f t="shared" si="91"/>
        <v>190.02763999999996</v>
      </c>
      <c r="Q88" s="526">
        <f t="shared" si="91"/>
        <v>133.41584</v>
      </c>
      <c r="R88" s="526">
        <f t="shared" si="91"/>
        <v>135.76586</v>
      </c>
      <c r="S88" s="526">
        <f t="shared" si="91"/>
        <v>218.55519999999999</v>
      </c>
      <c r="T88" s="526">
        <f t="shared" si="91"/>
        <v>135.708764</v>
      </c>
      <c r="U88" s="526">
        <f>U151+U194</f>
        <v>80.12925</v>
      </c>
      <c r="V88" s="428">
        <f>U88/T88-1</f>
        <v>-0.4095499241301763</v>
      </c>
      <c r="W88" s="288"/>
      <c r="X88" s="211">
        <f>X151+X194</f>
        <v>219.2</v>
      </c>
      <c r="Y88" s="211">
        <f aca="true" t="shared" si="99" ref="Y88:AH88">Y151+Y194</f>
        <v>153.3</v>
      </c>
      <c r="Z88" s="211">
        <f t="shared" si="99"/>
        <v>147.891</v>
      </c>
      <c r="AA88" s="211">
        <f t="shared" si="99"/>
        <v>101.06269999999999</v>
      </c>
      <c r="AB88" s="211">
        <f t="shared" si="99"/>
        <v>92.52278</v>
      </c>
      <c r="AC88" s="211">
        <f t="shared" si="99"/>
        <v>74.1</v>
      </c>
      <c r="AD88" s="211">
        <f t="shared" si="99"/>
        <v>93.506</v>
      </c>
      <c r="AE88" s="211">
        <f t="shared" si="99"/>
        <v>91.2</v>
      </c>
      <c r="AF88" s="211">
        <f t="shared" si="99"/>
        <v>99.6</v>
      </c>
      <c r="AG88" s="211">
        <f t="shared" si="99"/>
        <v>89</v>
      </c>
      <c r="AH88" s="211">
        <f t="shared" si="99"/>
        <v>55.546</v>
      </c>
      <c r="AI88" s="211">
        <f t="shared" si="97"/>
        <v>71.19879999999999</v>
      </c>
      <c r="AJ88" s="211">
        <f t="shared" si="97"/>
        <v>666.61226</v>
      </c>
      <c r="AK88" s="211">
        <f t="shared" si="97"/>
        <v>202.95064</v>
      </c>
      <c r="AL88" s="211">
        <f t="shared" si="97"/>
        <v>129.35647</v>
      </c>
      <c r="AM88" s="211">
        <f t="shared" si="97"/>
        <v>140.00398</v>
      </c>
      <c r="AN88" s="211">
        <f t="shared" si="97"/>
        <v>216.84969999999998</v>
      </c>
      <c r="AO88" s="211">
        <f>AO151+AO194</f>
        <v>137.033974</v>
      </c>
      <c r="AP88" s="211">
        <f>AP151+AP194</f>
        <v>80.12925</v>
      </c>
      <c r="AQ88" s="575">
        <f>AP88/AO88-1</f>
        <v>-0.41525997049461616</v>
      </c>
      <c r="AS88" s="224"/>
      <c r="AT88" s="224">
        <f>Quarterly!FP84</f>
        <v>106.7</v>
      </c>
      <c r="AU88" s="224">
        <f>Quarterly!FS84</f>
        <v>88.8</v>
      </c>
      <c r="AV88" s="224">
        <f>Quarterly!FV84</f>
        <v>55.61500000000001</v>
      </c>
      <c r="AW88" s="224">
        <f>Quarterly!FY84</f>
        <v>106.73379999999997</v>
      </c>
      <c r="AX88" s="224">
        <f>Quarterly!GB84</f>
        <v>685.0088999999999</v>
      </c>
      <c r="AY88" s="224">
        <f>Quarterly!GE84</f>
        <v>229.4049</v>
      </c>
      <c r="AZ88" s="224">
        <f>Quarterly!GH84</f>
        <v>123.350058</v>
      </c>
      <c r="BA88" s="224">
        <f>Quarterly!GK84</f>
        <v>129.95454500000002</v>
      </c>
      <c r="BB88" s="224">
        <f>Quarterly!GN84</f>
        <v>222.06856299999998</v>
      </c>
      <c r="BC88" s="224">
        <f>Quarterly!GQ84</f>
        <v>150.249694</v>
      </c>
      <c r="BD88" s="224">
        <f>Quarterly!GT84</f>
        <v>77.826582</v>
      </c>
      <c r="BE88" s="584">
        <f>BD88/BC88-1</f>
        <v>-0.4820183660407322</v>
      </c>
      <c r="BG88" s="445"/>
      <c r="BH88" s="445"/>
      <c r="BI88" s="417"/>
    </row>
    <row r="89" spans="1:57" ht="31.5">
      <c r="A89" s="70" t="s">
        <v>126</v>
      </c>
      <c r="B89" s="70" t="s">
        <v>72</v>
      </c>
      <c r="C89" s="144">
        <f>C91+C93+C95+C97</f>
        <v>359.082</v>
      </c>
      <c r="D89" s="144">
        <f aca="true" t="shared" si="100" ref="D89:M89">D91+D93+D95+D97</f>
        <v>385.976</v>
      </c>
      <c r="E89" s="144">
        <f t="shared" si="100"/>
        <v>494.63574200000005</v>
      </c>
      <c r="F89" s="144">
        <f t="shared" si="100"/>
        <v>516.288504</v>
      </c>
      <c r="G89" s="144">
        <f t="shared" si="100"/>
        <v>355.364952</v>
      </c>
      <c r="H89" s="144">
        <f t="shared" si="100"/>
        <v>371</v>
      </c>
      <c r="I89" s="144">
        <f t="shared" si="100"/>
        <v>398.617725</v>
      </c>
      <c r="J89" s="144">
        <f t="shared" si="100"/>
        <v>389.209346</v>
      </c>
      <c r="K89" s="144">
        <f t="shared" si="100"/>
        <v>382.454937</v>
      </c>
      <c r="L89" s="144">
        <f t="shared" si="100"/>
        <v>400.79999999999995</v>
      </c>
      <c r="M89" s="144">
        <f t="shared" si="100"/>
        <v>446.855906</v>
      </c>
      <c r="N89" s="144">
        <f aca="true" t="shared" si="101" ref="N89:P90">N91+N93+N95+N97</f>
        <v>386.234531</v>
      </c>
      <c r="O89" s="144">
        <f aca="true" t="shared" si="102" ref="O89:T89">O91+O93+O95+O97</f>
        <v>444.617701</v>
      </c>
      <c r="P89" s="524">
        <f t="shared" si="102"/>
        <v>475.13019699999995</v>
      </c>
      <c r="Q89" s="524">
        <f t="shared" si="102"/>
        <v>485.314809</v>
      </c>
      <c r="R89" s="524">
        <f t="shared" si="102"/>
        <v>422.948448</v>
      </c>
      <c r="S89" s="524">
        <f t="shared" si="102"/>
        <v>474.0290600000001</v>
      </c>
      <c r="T89" s="524">
        <f t="shared" si="102"/>
        <v>387.74218499999995</v>
      </c>
      <c r="U89" s="524">
        <f>U91+U93+U95+U97</f>
        <v>388.207915</v>
      </c>
      <c r="V89" s="443">
        <f>U89/T89-1</f>
        <v>0.0012011331704855355</v>
      </c>
      <c r="W89" s="288"/>
      <c r="X89" s="213">
        <f>X91+X93+X95+X97</f>
        <v>180.661</v>
      </c>
      <c r="Y89" s="213">
        <f aca="true" t="shared" si="103" ref="Y89:AH89">Y91+Y93+Y95+Y97</f>
        <v>189.89184500000002</v>
      </c>
      <c r="Z89" s="213">
        <f t="shared" si="103"/>
        <v>237.826615</v>
      </c>
      <c r="AA89" s="213">
        <f t="shared" si="103"/>
        <v>240.9599015</v>
      </c>
      <c r="AB89" s="213">
        <f t="shared" si="103"/>
        <v>172.78531500000003</v>
      </c>
      <c r="AC89" s="213">
        <f t="shared" si="103"/>
        <v>182.5</v>
      </c>
      <c r="AD89" s="213">
        <f t="shared" si="103"/>
        <v>190.04699999999997</v>
      </c>
      <c r="AE89" s="213">
        <f t="shared" si="103"/>
        <v>186.7004045</v>
      </c>
      <c r="AF89" s="213">
        <f t="shared" si="103"/>
        <v>192.43244</v>
      </c>
      <c r="AG89" s="213">
        <f t="shared" si="103"/>
        <v>194.79999999999998</v>
      </c>
      <c r="AH89" s="213">
        <f t="shared" si="103"/>
        <v>214.06897050000032</v>
      </c>
      <c r="AI89" s="213">
        <f aca="true" t="shared" si="104" ref="AI89:AN89">AI91+AI93+AI95+AI97</f>
        <v>186.8070155</v>
      </c>
      <c r="AJ89" s="213">
        <f t="shared" si="104"/>
        <v>222.6763115</v>
      </c>
      <c r="AK89" s="213">
        <f t="shared" si="104"/>
        <v>236.47403300000002</v>
      </c>
      <c r="AL89" s="213">
        <f t="shared" si="104"/>
        <v>237.17782799999998</v>
      </c>
      <c r="AM89" s="213">
        <f t="shared" si="104"/>
        <v>210.621669</v>
      </c>
      <c r="AN89" s="213">
        <f t="shared" si="104"/>
        <v>227.47334600000002</v>
      </c>
      <c r="AO89" s="213">
        <f>AO91+AO93+AO95+AO97</f>
        <v>189.33752</v>
      </c>
      <c r="AP89" s="213">
        <f>AP91+AP93+AP95+AP97</f>
        <v>182.368303</v>
      </c>
      <c r="AQ89" s="573">
        <f>AP89/AO89-1</f>
        <v>-0.036808430785403856</v>
      </c>
      <c r="AS89" s="215">
        <f aca="true" t="shared" si="105" ref="AS89:AX89">AS91+AS93+AS97</f>
        <v>0</v>
      </c>
      <c r="AT89" s="215">
        <f t="shared" si="105"/>
        <v>192.48000000000002</v>
      </c>
      <c r="AU89" s="215">
        <f t="shared" si="105"/>
        <v>194.79999999999998</v>
      </c>
      <c r="AV89" s="215">
        <f t="shared" si="105"/>
        <v>214.06897049999975</v>
      </c>
      <c r="AW89" s="215">
        <f t="shared" si="105"/>
        <v>186.8070155</v>
      </c>
      <c r="AX89" s="215">
        <f t="shared" si="105"/>
        <v>222.69831150000002</v>
      </c>
      <c r="AY89" s="215">
        <f>AY91+AY93+AY97</f>
        <v>236.474033</v>
      </c>
      <c r="AZ89" s="215">
        <f>AZ91+AZ93+AZ97</f>
        <v>237.17782799999995</v>
      </c>
      <c r="BA89" s="215">
        <f>BA91+BA93+BA97</f>
        <v>210.621669</v>
      </c>
      <c r="BB89" s="215">
        <f>BB91+BB93+BB97</f>
        <v>227.47334599999996</v>
      </c>
      <c r="BC89" s="215">
        <f>BC91+BC93+BC97</f>
        <v>189.33751999999996</v>
      </c>
      <c r="BD89" s="215">
        <f>BD91+BD93+BD97</f>
        <v>182.36830300000003</v>
      </c>
      <c r="BE89" s="583">
        <f>BD89/BC89-1</f>
        <v>-0.03680843078540341</v>
      </c>
    </row>
    <row r="90" spans="1:57" ht="15.75">
      <c r="A90" s="100" t="s">
        <v>99</v>
      </c>
      <c r="B90" s="100" t="s">
        <v>93</v>
      </c>
      <c r="C90" s="217">
        <f>C92+C94+C96+C98</f>
        <v>179.5</v>
      </c>
      <c r="D90" s="217">
        <f aca="true" t="shared" si="106" ref="D90:M90">D92+D94+D96+D98</f>
        <v>191</v>
      </c>
      <c r="E90" s="217">
        <f t="shared" si="106"/>
        <v>257.2993335</v>
      </c>
      <c r="F90" s="217">
        <f t="shared" si="106"/>
        <v>272.71403499999997</v>
      </c>
      <c r="G90" s="217">
        <f t="shared" si="106"/>
        <v>183.28573599999999</v>
      </c>
      <c r="H90" s="217">
        <f t="shared" si="106"/>
        <v>188.5</v>
      </c>
      <c r="I90" s="217">
        <f t="shared" si="106"/>
        <v>208.42060500000002</v>
      </c>
      <c r="J90" s="217">
        <f t="shared" si="106"/>
        <v>202.3983465</v>
      </c>
      <c r="K90" s="217">
        <f t="shared" si="106"/>
        <v>176.22921</v>
      </c>
      <c r="L90" s="217">
        <f t="shared" si="106"/>
        <v>206.50000000000003</v>
      </c>
      <c r="M90" s="217">
        <f t="shared" si="106"/>
        <v>231.88078099999998</v>
      </c>
      <c r="N90" s="217">
        <f t="shared" si="101"/>
        <v>199.474874</v>
      </c>
      <c r="O90" s="217">
        <f t="shared" si="101"/>
        <v>220.921944</v>
      </c>
      <c r="P90" s="525">
        <f t="shared" si="101"/>
        <v>239.248468</v>
      </c>
      <c r="Q90" s="525">
        <f>Q92+Q94+Q96+Q98</f>
        <v>247.81352099999998</v>
      </c>
      <c r="R90" s="525">
        <f>R92+R94+R96+R98</f>
        <v>213.1422235</v>
      </c>
      <c r="S90" s="525">
        <f>S92+S94+S96+S98</f>
        <v>245.899938</v>
      </c>
      <c r="T90" s="525">
        <f>T92+T94+T96+T98</f>
        <v>199.032448</v>
      </c>
      <c r="U90" s="525">
        <f>U92+U94+U96+U98</f>
        <v>204.78499599999998</v>
      </c>
      <c r="V90" s="428"/>
      <c r="W90" s="28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574"/>
      <c r="AR90" s="12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584"/>
    </row>
    <row r="91" spans="1:57" ht="15.75">
      <c r="A91" s="117" t="s">
        <v>73</v>
      </c>
      <c r="B91" s="117" t="s">
        <v>74</v>
      </c>
      <c r="C91" s="222">
        <f>C154+C197</f>
        <v>97.39</v>
      </c>
      <c r="D91" s="222">
        <f aca="true" t="shared" si="107" ref="D91:M91">D154+D197</f>
        <v>98.75</v>
      </c>
      <c r="E91" s="222">
        <f t="shared" si="107"/>
        <v>102.05</v>
      </c>
      <c r="F91" s="222">
        <f t="shared" si="107"/>
        <v>102.395</v>
      </c>
      <c r="G91" s="222">
        <f t="shared" si="107"/>
        <v>76.735</v>
      </c>
      <c r="H91" s="222">
        <f t="shared" si="107"/>
        <v>81.7</v>
      </c>
      <c r="I91" s="222">
        <f t="shared" si="107"/>
        <v>77.79</v>
      </c>
      <c r="J91" s="222">
        <f t="shared" si="107"/>
        <v>79.905</v>
      </c>
      <c r="K91" s="222">
        <f t="shared" si="107"/>
        <v>87.86</v>
      </c>
      <c r="L91" s="222">
        <f t="shared" si="107"/>
        <v>82.7</v>
      </c>
      <c r="M91" s="222">
        <f t="shared" si="107"/>
        <v>90.845</v>
      </c>
      <c r="N91" s="222">
        <f aca="true" t="shared" si="108" ref="N91:S91">N154+N197</f>
        <v>80.465</v>
      </c>
      <c r="O91" s="222">
        <f t="shared" si="108"/>
        <v>101.525</v>
      </c>
      <c r="P91" s="526">
        <f t="shared" si="108"/>
        <v>107.575</v>
      </c>
      <c r="Q91" s="526">
        <f t="shared" si="108"/>
        <v>106.14</v>
      </c>
      <c r="R91" s="526">
        <f t="shared" si="108"/>
        <v>97.82999999999998</v>
      </c>
      <c r="S91" s="526">
        <f t="shared" si="108"/>
        <v>105.35499999999999</v>
      </c>
      <c r="T91" s="526">
        <f>T154+T197</f>
        <v>95.175</v>
      </c>
      <c r="U91" s="526">
        <f>U154+U197</f>
        <v>89.555</v>
      </c>
      <c r="V91" s="428">
        <f>U91/T91-1</f>
        <v>-0.05904912004202778</v>
      </c>
      <c r="W91" s="288"/>
      <c r="X91" s="211">
        <f>X154+X197</f>
        <v>20.302000000000003</v>
      </c>
      <c r="Y91" s="211">
        <f aca="true" t="shared" si="109" ref="Y91:AH91">Y154+Y197</f>
        <v>15.19181</v>
      </c>
      <c r="Z91" s="211">
        <f t="shared" si="109"/>
        <v>4.855722999999999</v>
      </c>
      <c r="AA91" s="211">
        <f t="shared" si="109"/>
        <v>3.2667175</v>
      </c>
      <c r="AB91" s="211">
        <f t="shared" si="109"/>
        <v>10.804243</v>
      </c>
      <c r="AC91" s="211">
        <f t="shared" si="109"/>
        <v>13.3</v>
      </c>
      <c r="AD91" s="211">
        <f t="shared" si="109"/>
        <v>4.5249999999999995</v>
      </c>
      <c r="AE91" s="211">
        <f t="shared" si="109"/>
        <v>7.2565385000000004</v>
      </c>
      <c r="AF91" s="211">
        <f t="shared" si="109"/>
        <v>20.8</v>
      </c>
      <c r="AG91" s="211">
        <f t="shared" si="109"/>
        <v>12.2</v>
      </c>
      <c r="AH91" s="211">
        <f t="shared" si="109"/>
        <v>7.8727665</v>
      </c>
      <c r="AI91" s="211">
        <f aca="true" t="shared" si="110" ref="AI91:AN91">AI154+AI197</f>
        <v>9.7115625</v>
      </c>
      <c r="AJ91" s="211">
        <f t="shared" si="110"/>
        <v>19.346987499999997</v>
      </c>
      <c r="AK91" s="211">
        <f t="shared" si="110"/>
        <v>20.577688000000002</v>
      </c>
      <c r="AL91" s="211">
        <f t="shared" si="110"/>
        <v>15.406998000000002</v>
      </c>
      <c r="AM91" s="211">
        <f t="shared" si="110"/>
        <v>19.695189999999997</v>
      </c>
      <c r="AN91" s="211">
        <f t="shared" si="110"/>
        <v>14.438156000000001</v>
      </c>
      <c r="AO91" s="211">
        <f>AO154+AO197</f>
        <v>20.493434999999998</v>
      </c>
      <c r="AP91" s="211">
        <f>AP154+AP197</f>
        <v>12.862388</v>
      </c>
      <c r="AQ91" s="575">
        <f>AP91/AO91-1</f>
        <v>-0.372365442884514</v>
      </c>
      <c r="AS91" s="224"/>
      <c r="AT91" s="224">
        <f>Quarterly!FP87</f>
        <v>20.85</v>
      </c>
      <c r="AU91" s="224">
        <f>Quarterly!FS87</f>
        <v>12.2</v>
      </c>
      <c r="AV91" s="224">
        <f>Quarterly!FV87</f>
        <v>7.8727665</v>
      </c>
      <c r="AW91" s="224">
        <f>Quarterly!FY87</f>
        <v>9.7115625</v>
      </c>
      <c r="AX91" s="224">
        <f>Quarterly!GB87</f>
        <v>19.3469875</v>
      </c>
      <c r="AY91" s="224">
        <f>Quarterly!GE87</f>
        <v>20.577688</v>
      </c>
      <c r="AZ91" s="224">
        <f>Quarterly!GH87</f>
        <v>15.406998000000002</v>
      </c>
      <c r="BA91" s="224">
        <f>Quarterly!GK87</f>
        <v>19.695190000000004</v>
      </c>
      <c r="BB91" s="224">
        <f>Quarterly!GN87</f>
        <v>14.438156</v>
      </c>
      <c r="BC91" s="224">
        <f>Quarterly!GQ87</f>
        <v>20.493435</v>
      </c>
      <c r="BD91" s="224">
        <f>Quarterly!GT87</f>
        <v>12.862388</v>
      </c>
      <c r="BE91" s="584">
        <f>BD91/BC91-1</f>
        <v>-0.3723654428845141</v>
      </c>
    </row>
    <row r="92" spans="1:57" ht="15.75">
      <c r="A92" s="100" t="s">
        <v>99</v>
      </c>
      <c r="B92" s="100" t="s">
        <v>93</v>
      </c>
      <c r="C92" s="217">
        <f>C155</f>
        <v>77.5</v>
      </c>
      <c r="D92" s="217">
        <f aca="true" t="shared" si="111" ref="D92:M92">D155</f>
        <v>82.6</v>
      </c>
      <c r="E92" s="217">
        <f t="shared" si="111"/>
        <v>97.7563335</v>
      </c>
      <c r="F92" s="217">
        <f t="shared" si="111"/>
        <v>98.358035</v>
      </c>
      <c r="G92" s="217">
        <f t="shared" si="111"/>
        <v>65.663636</v>
      </c>
      <c r="H92" s="217">
        <f t="shared" si="111"/>
        <v>69.1</v>
      </c>
      <c r="I92" s="217">
        <f t="shared" si="111"/>
        <v>73.568605</v>
      </c>
      <c r="J92" s="217">
        <f t="shared" si="111"/>
        <v>71.8425465</v>
      </c>
      <c r="K92" s="217">
        <f t="shared" si="111"/>
        <v>67.34221000000001</v>
      </c>
      <c r="L92" s="217">
        <f t="shared" si="111"/>
        <v>70.7</v>
      </c>
      <c r="M92" s="217">
        <f t="shared" si="111"/>
        <v>82.348781</v>
      </c>
      <c r="N92" s="217">
        <f aca="true" t="shared" si="112" ref="N92:S92">N155</f>
        <v>71.254674</v>
      </c>
      <c r="O92" s="217">
        <f t="shared" si="112"/>
        <v>81.790544</v>
      </c>
      <c r="P92" s="525">
        <f t="shared" si="112"/>
        <v>87.375468</v>
      </c>
      <c r="Q92" s="525">
        <f t="shared" si="112"/>
        <v>90.60952099999999</v>
      </c>
      <c r="R92" s="525">
        <f t="shared" si="112"/>
        <v>78.46092349999999</v>
      </c>
      <c r="S92" s="525">
        <f t="shared" si="112"/>
        <v>90.717938</v>
      </c>
      <c r="T92" s="525">
        <f>T155</f>
        <v>74.412948</v>
      </c>
      <c r="U92" s="525">
        <f>U155</f>
        <v>77.006996</v>
      </c>
      <c r="V92" s="428"/>
      <c r="W92" s="288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574"/>
      <c r="AR92" s="129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584"/>
    </row>
    <row r="93" spans="1:57" ht="15.75">
      <c r="A93" s="116" t="s">
        <v>128</v>
      </c>
      <c r="B93" s="117" t="s">
        <v>76</v>
      </c>
      <c r="C93" s="222">
        <f>C156+C199</f>
        <v>141.544</v>
      </c>
      <c r="D93" s="222">
        <f aca="true" t="shared" si="113" ref="D93:M93">D156+D199</f>
        <v>148.972</v>
      </c>
      <c r="E93" s="222">
        <f t="shared" si="113"/>
        <v>183.91377</v>
      </c>
      <c r="F93" s="222">
        <f t="shared" si="113"/>
        <v>193.302345</v>
      </c>
      <c r="G93" s="222">
        <f t="shared" si="113"/>
        <v>126.14411</v>
      </c>
      <c r="H93" s="222">
        <f t="shared" si="113"/>
        <v>132.3</v>
      </c>
      <c r="I93" s="222">
        <f t="shared" si="113"/>
        <v>144.327725</v>
      </c>
      <c r="J93" s="222">
        <f t="shared" si="113"/>
        <v>139.12221</v>
      </c>
      <c r="K93" s="222">
        <f t="shared" si="113"/>
        <v>130.46218</v>
      </c>
      <c r="L93" s="222">
        <f t="shared" si="113"/>
        <v>143.7</v>
      </c>
      <c r="M93" s="222">
        <f t="shared" si="113"/>
        <v>168.196481</v>
      </c>
      <c r="N93" s="222">
        <f aca="true" t="shared" si="114" ref="N93:S93">N156+N199</f>
        <v>143.46135</v>
      </c>
      <c r="O93" s="222">
        <f t="shared" si="114"/>
        <v>162.498476</v>
      </c>
      <c r="P93" s="526">
        <f t="shared" si="114"/>
        <v>174.40022499999998</v>
      </c>
      <c r="Q93" s="526">
        <f t="shared" si="114"/>
        <v>172.984899</v>
      </c>
      <c r="R93" s="526">
        <f t="shared" si="114"/>
        <v>150.781834</v>
      </c>
      <c r="S93" s="526">
        <f t="shared" si="114"/>
        <v>169.48739</v>
      </c>
      <c r="T93" s="526">
        <f>T156+T199</f>
        <v>133.42643</v>
      </c>
      <c r="U93" s="526">
        <f>U156+U199</f>
        <v>135.06980000000001</v>
      </c>
      <c r="V93" s="428">
        <f>U93/T93-1</f>
        <v>0.012316675189465887</v>
      </c>
      <c r="W93" s="288"/>
      <c r="X93" s="211">
        <f>X156+X199</f>
        <v>42.261</v>
      </c>
      <c r="Y93" s="211">
        <f aca="true" t="shared" si="115" ref="Y93:AH93">Y156+Y199</f>
        <v>40.224265</v>
      </c>
      <c r="Z93" s="211">
        <f t="shared" si="115"/>
        <v>30.37517</v>
      </c>
      <c r="AA93" s="211">
        <f t="shared" si="115"/>
        <v>18.797185</v>
      </c>
      <c r="AB93" s="211">
        <f t="shared" si="115"/>
        <v>9.65375</v>
      </c>
      <c r="AC93" s="211">
        <f t="shared" si="115"/>
        <v>13.5</v>
      </c>
      <c r="AD93" s="211">
        <f t="shared" si="115"/>
        <v>10.234</v>
      </c>
      <c r="AE93" s="211">
        <f t="shared" si="115"/>
        <v>9.42627</v>
      </c>
      <c r="AF93" s="211">
        <f t="shared" si="115"/>
        <v>8.07244</v>
      </c>
      <c r="AG93" s="211">
        <f t="shared" si="115"/>
        <v>8.9</v>
      </c>
      <c r="AH93" s="211">
        <f t="shared" si="115"/>
        <v>19.698480999999983</v>
      </c>
      <c r="AI93" s="211">
        <f aca="true" t="shared" si="116" ref="AI93:AN93">AI156+AI199</f>
        <v>16.26295</v>
      </c>
      <c r="AJ93" s="211">
        <f t="shared" si="116"/>
        <v>24.372598</v>
      </c>
      <c r="AK93" s="211">
        <f t="shared" si="116"/>
        <v>24.301503</v>
      </c>
      <c r="AL93" s="211">
        <f t="shared" si="116"/>
        <v>17.577818999999998</v>
      </c>
      <c r="AM93" s="211">
        <f t="shared" si="116"/>
        <v>19.519384</v>
      </c>
      <c r="AN93" s="211">
        <f t="shared" si="116"/>
        <v>20.19272</v>
      </c>
      <c r="AO93" s="211">
        <f>AO156+AO199</f>
        <v>17.42503</v>
      </c>
      <c r="AP93" s="211">
        <f>AP156+AP199</f>
        <v>15.403800000000002</v>
      </c>
      <c r="AQ93" s="575">
        <f>AP93/AO93-1</f>
        <v>-0.11599578307756131</v>
      </c>
      <c r="AS93" s="224"/>
      <c r="AT93" s="224">
        <f>Quarterly!FP89</f>
        <v>8.07</v>
      </c>
      <c r="AU93" s="224">
        <f>Quarterly!FS89</f>
        <v>8.9</v>
      </c>
      <c r="AV93" s="224">
        <f>Quarterly!FV89</f>
        <v>19.698481</v>
      </c>
      <c r="AW93" s="224">
        <f>Quarterly!FY89</f>
        <v>16.26295</v>
      </c>
      <c r="AX93" s="224">
        <f>Quarterly!GB89</f>
        <v>24.372597999999996</v>
      </c>
      <c r="AY93" s="224">
        <f>Quarterly!GE89</f>
        <v>24.301503</v>
      </c>
      <c r="AZ93" s="224">
        <f>Quarterly!GH89</f>
        <v>17.577818999999998</v>
      </c>
      <c r="BA93" s="224">
        <f>Quarterly!GK89</f>
        <v>19.519384000000002</v>
      </c>
      <c r="BB93" s="224">
        <f>Quarterly!GN89</f>
        <v>20.19272</v>
      </c>
      <c r="BC93" s="224">
        <f>Quarterly!GQ89</f>
        <v>17.42503</v>
      </c>
      <c r="BD93" s="224">
        <f>Quarterly!GT89</f>
        <v>15.403800000000002</v>
      </c>
      <c r="BE93" s="584">
        <f>BD93/BC93-1</f>
        <v>-0.11599578307756131</v>
      </c>
    </row>
    <row r="94" spans="1:57" ht="15.75">
      <c r="A94" s="100" t="s">
        <v>99</v>
      </c>
      <c r="B94" s="100" t="s">
        <v>93</v>
      </c>
      <c r="C94" s="217">
        <f>C157</f>
        <v>102</v>
      </c>
      <c r="D94" s="217">
        <f aca="true" t="shared" si="117" ref="D94:M94">D157</f>
        <v>108.4</v>
      </c>
      <c r="E94" s="217">
        <f t="shared" si="117"/>
        <v>153.849</v>
      </c>
      <c r="F94" s="217">
        <f t="shared" si="117"/>
        <v>174.356</v>
      </c>
      <c r="G94" s="217">
        <f t="shared" si="117"/>
        <v>116.741</v>
      </c>
      <c r="H94" s="217">
        <f t="shared" si="117"/>
        <v>118.7</v>
      </c>
      <c r="I94" s="217">
        <f t="shared" si="117"/>
        <v>134.05200000000002</v>
      </c>
      <c r="J94" s="217">
        <f t="shared" si="117"/>
        <v>129.654</v>
      </c>
      <c r="K94" s="217">
        <f>K157</f>
        <v>107.806</v>
      </c>
      <c r="L94" s="217">
        <f t="shared" si="117"/>
        <v>134.9</v>
      </c>
      <c r="M94" s="217">
        <f t="shared" si="117"/>
        <v>148.498</v>
      </c>
      <c r="N94" s="217">
        <f aca="true" t="shared" si="118" ref="N94:S94">N157</f>
        <v>126.991</v>
      </c>
      <c r="O94" s="217">
        <f t="shared" si="118"/>
        <v>137.517</v>
      </c>
      <c r="P94" s="525">
        <f t="shared" si="118"/>
        <v>150.751</v>
      </c>
      <c r="Q94" s="525">
        <f t="shared" si="118"/>
        <v>155.1675</v>
      </c>
      <c r="R94" s="525">
        <f t="shared" si="118"/>
        <v>131.0683</v>
      </c>
      <c r="S94" s="525">
        <f t="shared" si="118"/>
        <v>149.56199999999998</v>
      </c>
      <c r="T94" s="525">
        <f>T157</f>
        <v>116.332</v>
      </c>
      <c r="U94" s="525">
        <f>U157</f>
        <v>119.285</v>
      </c>
      <c r="V94" s="428"/>
      <c r="W94" s="288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574"/>
      <c r="AR94" s="129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584"/>
    </row>
    <row r="95" spans="1:57" ht="30" hidden="1">
      <c r="A95" s="117" t="s">
        <v>77</v>
      </c>
      <c r="B95" s="117" t="s">
        <v>78</v>
      </c>
      <c r="C95" s="222">
        <f>C158+C201</f>
        <v>0</v>
      </c>
      <c r="D95" s="222">
        <f aca="true" t="shared" si="119" ref="D95:M95">D158+D201</f>
        <v>3.391</v>
      </c>
      <c r="E95" s="222">
        <f t="shared" si="119"/>
        <v>5.694</v>
      </c>
      <c r="F95" s="222">
        <f t="shared" si="119"/>
        <v>0</v>
      </c>
      <c r="G95" s="222">
        <f t="shared" si="119"/>
        <v>0</v>
      </c>
      <c r="H95" s="222">
        <f t="shared" si="119"/>
        <v>0</v>
      </c>
      <c r="I95" s="222">
        <f t="shared" si="119"/>
        <v>0</v>
      </c>
      <c r="J95" s="222">
        <f t="shared" si="119"/>
        <v>0</v>
      </c>
      <c r="K95" s="222">
        <f t="shared" si="119"/>
        <v>0</v>
      </c>
      <c r="L95" s="222">
        <f t="shared" si="119"/>
        <v>0</v>
      </c>
      <c r="M95" s="222">
        <f t="shared" si="119"/>
        <v>0</v>
      </c>
      <c r="N95" s="222">
        <f aca="true" t="shared" si="120" ref="N95:S95">N158+N201</f>
        <v>0</v>
      </c>
      <c r="O95" s="222">
        <f t="shared" si="120"/>
        <v>0</v>
      </c>
      <c r="P95" s="526">
        <f t="shared" si="120"/>
        <v>0</v>
      </c>
      <c r="Q95" s="526">
        <f t="shared" si="120"/>
        <v>0</v>
      </c>
      <c r="R95" s="526">
        <f t="shared" si="120"/>
        <v>0</v>
      </c>
      <c r="S95" s="526">
        <f t="shared" si="120"/>
        <v>0</v>
      </c>
      <c r="T95" s="526">
        <f>T158+T201</f>
        <v>0</v>
      </c>
      <c r="U95" s="526">
        <f>U158+U201</f>
        <v>0</v>
      </c>
      <c r="V95" s="428" t="e">
        <f>R95/Q95-1</f>
        <v>#DIV/0!</v>
      </c>
      <c r="W95" s="288"/>
      <c r="X95" s="211">
        <f>X158+X201</f>
        <v>0</v>
      </c>
      <c r="Y95" s="211">
        <f aca="true" t="shared" si="121" ref="Y95:AH95">Y158+Y201</f>
        <v>1.03734</v>
      </c>
      <c r="Z95" s="211">
        <f t="shared" si="121"/>
        <v>0</v>
      </c>
      <c r="AA95" s="211">
        <f t="shared" si="121"/>
        <v>0</v>
      </c>
      <c r="AB95" s="211">
        <f t="shared" si="121"/>
        <v>0</v>
      </c>
      <c r="AC95" s="211">
        <f t="shared" si="121"/>
        <v>0</v>
      </c>
      <c r="AD95" s="211">
        <f t="shared" si="121"/>
        <v>0</v>
      </c>
      <c r="AE95" s="211">
        <f t="shared" si="121"/>
        <v>0</v>
      </c>
      <c r="AF95" s="211">
        <f t="shared" si="121"/>
        <v>0</v>
      </c>
      <c r="AG95" s="211">
        <f t="shared" si="121"/>
        <v>0</v>
      </c>
      <c r="AH95" s="211">
        <f t="shared" si="121"/>
        <v>0</v>
      </c>
      <c r="AI95" s="211">
        <f aca="true" t="shared" si="122" ref="AI95:AN95">AI158+AI201</f>
        <v>0</v>
      </c>
      <c r="AJ95" s="211">
        <f t="shared" si="122"/>
        <v>0</v>
      </c>
      <c r="AK95" s="211">
        <f t="shared" si="122"/>
        <v>0</v>
      </c>
      <c r="AL95" s="211">
        <f t="shared" si="122"/>
        <v>0</v>
      </c>
      <c r="AM95" s="211">
        <f t="shared" si="122"/>
        <v>0</v>
      </c>
      <c r="AN95" s="211">
        <f t="shared" si="122"/>
        <v>0</v>
      </c>
      <c r="AO95" s="211">
        <f>AO158+AO201</f>
        <v>0</v>
      </c>
      <c r="AP95" s="211">
        <f>AP158+AP201</f>
        <v>0</v>
      </c>
      <c r="AQ95" s="574" t="e">
        <f>AH95/AG95-1</f>
        <v>#DIV/0!</v>
      </c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584"/>
    </row>
    <row r="96" spans="1:57" ht="15.75" hidden="1">
      <c r="A96" s="100" t="s">
        <v>99</v>
      </c>
      <c r="B96" s="100" t="s">
        <v>93</v>
      </c>
      <c r="C96" s="217">
        <f>C159</f>
        <v>0</v>
      </c>
      <c r="D96" s="217">
        <f aca="true" t="shared" si="123" ref="D96:M96">D159</f>
        <v>0</v>
      </c>
      <c r="E96" s="217">
        <f t="shared" si="123"/>
        <v>5.694</v>
      </c>
      <c r="F96" s="217">
        <f t="shared" si="123"/>
        <v>0</v>
      </c>
      <c r="G96" s="217">
        <f t="shared" si="123"/>
        <v>0</v>
      </c>
      <c r="H96" s="217">
        <f t="shared" si="123"/>
        <v>0</v>
      </c>
      <c r="I96" s="217">
        <f t="shared" si="123"/>
        <v>0</v>
      </c>
      <c r="J96" s="217">
        <f t="shared" si="123"/>
        <v>0</v>
      </c>
      <c r="K96" s="217">
        <f t="shared" si="123"/>
        <v>0</v>
      </c>
      <c r="L96" s="217">
        <f t="shared" si="123"/>
        <v>0</v>
      </c>
      <c r="M96" s="217">
        <f t="shared" si="123"/>
        <v>0</v>
      </c>
      <c r="N96" s="217">
        <f aca="true" t="shared" si="124" ref="N96:S96">N159</f>
        <v>0</v>
      </c>
      <c r="O96" s="217">
        <f t="shared" si="124"/>
        <v>0</v>
      </c>
      <c r="P96" s="525">
        <f t="shared" si="124"/>
        <v>0</v>
      </c>
      <c r="Q96" s="525">
        <f t="shared" si="124"/>
        <v>0</v>
      </c>
      <c r="R96" s="525">
        <f t="shared" si="124"/>
        <v>0</v>
      </c>
      <c r="S96" s="525">
        <f t="shared" si="124"/>
        <v>0</v>
      </c>
      <c r="T96" s="525">
        <f>T159</f>
        <v>0</v>
      </c>
      <c r="U96" s="525">
        <f>U159</f>
        <v>0</v>
      </c>
      <c r="V96" s="428" t="e">
        <f>R96/Q96-1</f>
        <v>#DIV/0!</v>
      </c>
      <c r="W96" s="288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574" t="e">
        <f>AH96/AG96-1</f>
        <v>#DIV/0!</v>
      </c>
      <c r="AR96" s="129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584"/>
    </row>
    <row r="97" spans="1:57" ht="30">
      <c r="A97" s="116" t="s">
        <v>132</v>
      </c>
      <c r="B97" s="116" t="s">
        <v>129</v>
      </c>
      <c r="C97" s="222">
        <f>C160+C203</f>
        <v>120.148</v>
      </c>
      <c r="D97" s="222">
        <f aca="true" t="shared" si="125" ref="D97:M97">D160+D203</f>
        <v>134.863</v>
      </c>
      <c r="E97" s="222">
        <f t="shared" si="125"/>
        <v>202.977972</v>
      </c>
      <c r="F97" s="222">
        <f t="shared" si="125"/>
        <v>220.591159</v>
      </c>
      <c r="G97" s="222">
        <f t="shared" si="125"/>
        <v>152.485842</v>
      </c>
      <c r="H97" s="222">
        <f t="shared" si="125"/>
        <v>157</v>
      </c>
      <c r="I97" s="222">
        <f t="shared" si="125"/>
        <v>176.5</v>
      </c>
      <c r="J97" s="222">
        <f t="shared" si="125"/>
        <v>170.182136</v>
      </c>
      <c r="K97" s="222">
        <f t="shared" si="125"/>
        <v>164.132757</v>
      </c>
      <c r="L97" s="222">
        <f t="shared" si="125"/>
        <v>174.4</v>
      </c>
      <c r="M97" s="222">
        <f t="shared" si="125"/>
        <v>187.814425</v>
      </c>
      <c r="N97" s="222">
        <f aca="true" t="shared" si="126" ref="N97:S97">N160+N203</f>
        <v>162.308181</v>
      </c>
      <c r="O97" s="222">
        <f t="shared" si="126"/>
        <v>180.594225</v>
      </c>
      <c r="P97" s="526">
        <f t="shared" si="126"/>
        <v>193.15497200000001</v>
      </c>
      <c r="Q97" s="526">
        <f t="shared" si="126"/>
        <v>206.18991</v>
      </c>
      <c r="R97" s="526">
        <f t="shared" si="126"/>
        <v>174.336614</v>
      </c>
      <c r="S97" s="526">
        <f t="shared" si="126"/>
        <v>199.18667000000002</v>
      </c>
      <c r="T97" s="526">
        <f>T160+T203</f>
        <v>159.14075499999998</v>
      </c>
      <c r="U97" s="526">
        <f>U160+U203</f>
        <v>163.583115</v>
      </c>
      <c r="V97" s="428">
        <f>U97/T97-1</f>
        <v>0.02791465957290451</v>
      </c>
      <c r="W97" s="288"/>
      <c r="X97" s="211">
        <f>X160+X203</f>
        <v>118.098</v>
      </c>
      <c r="Y97" s="211">
        <f aca="true" t="shared" si="127" ref="Y97:AH97">Y160+Y203</f>
        <v>133.43843</v>
      </c>
      <c r="Z97" s="211">
        <f t="shared" si="127"/>
        <v>202.595722</v>
      </c>
      <c r="AA97" s="211">
        <f t="shared" si="127"/>
        <v>218.895999</v>
      </c>
      <c r="AB97" s="211">
        <f t="shared" si="127"/>
        <v>152.327322</v>
      </c>
      <c r="AC97" s="211">
        <f t="shared" si="127"/>
        <v>155.7</v>
      </c>
      <c r="AD97" s="211">
        <f t="shared" si="127"/>
        <v>175.28799999999998</v>
      </c>
      <c r="AE97" s="211">
        <f t="shared" si="127"/>
        <v>170.017596</v>
      </c>
      <c r="AF97" s="211">
        <f t="shared" si="127"/>
        <v>163.56</v>
      </c>
      <c r="AG97" s="211">
        <f t="shared" si="127"/>
        <v>173.7</v>
      </c>
      <c r="AH97" s="211">
        <f t="shared" si="127"/>
        <v>186.49772300000032</v>
      </c>
      <c r="AI97" s="211">
        <f aca="true" t="shared" si="128" ref="AI97:AN97">AI160+AI203</f>
        <v>160.832503</v>
      </c>
      <c r="AJ97" s="211">
        <f t="shared" si="128"/>
        <v>178.956726</v>
      </c>
      <c r="AK97" s="211">
        <f t="shared" si="128"/>
        <v>191.59484200000003</v>
      </c>
      <c r="AL97" s="211">
        <f t="shared" si="128"/>
        <v>204.19301099999998</v>
      </c>
      <c r="AM97" s="211">
        <f t="shared" si="128"/>
        <v>171.407095</v>
      </c>
      <c r="AN97" s="211">
        <f t="shared" si="128"/>
        <v>192.84247000000002</v>
      </c>
      <c r="AO97" s="211">
        <f>AO160+AO203</f>
        <v>151.41905500000001</v>
      </c>
      <c r="AP97" s="211">
        <f>AP160+AP203</f>
        <v>154.102115</v>
      </c>
      <c r="AQ97" s="575">
        <f>AP97/AO97-1</f>
        <v>0.017719434320865313</v>
      </c>
      <c r="AS97" s="224"/>
      <c r="AT97" s="224">
        <f>Quarterly!FP93</f>
        <v>163.56</v>
      </c>
      <c r="AU97" s="224">
        <f>Quarterly!FS93</f>
        <v>173.7</v>
      </c>
      <c r="AV97" s="224">
        <f>Quarterly!FV93</f>
        <v>186.49772299999975</v>
      </c>
      <c r="AW97" s="224">
        <f>Quarterly!FY93</f>
        <v>160.832503</v>
      </c>
      <c r="AX97" s="224">
        <f>Quarterly!GB93</f>
        <v>178.97872600000002</v>
      </c>
      <c r="AY97" s="224">
        <f>Quarterly!GE93</f>
        <v>191.594842</v>
      </c>
      <c r="AZ97" s="224">
        <f>Quarterly!GH93</f>
        <v>204.19301099999996</v>
      </c>
      <c r="BA97" s="224">
        <f>Quarterly!GK93</f>
        <v>171.407095</v>
      </c>
      <c r="BB97" s="224">
        <f>Quarterly!GN93</f>
        <v>192.84246999999996</v>
      </c>
      <c r="BC97" s="224">
        <f>Quarterly!GQ93</f>
        <v>151.41905499999996</v>
      </c>
      <c r="BD97" s="224">
        <f>Quarterly!GT93</f>
        <v>154.10211500000003</v>
      </c>
      <c r="BE97" s="584">
        <f>BD97/BC97-1</f>
        <v>0.017719434320865757</v>
      </c>
    </row>
    <row r="98" spans="1:57" ht="15.75">
      <c r="A98" s="100" t="s">
        <v>99</v>
      </c>
      <c r="B98" s="100" t="s">
        <v>93</v>
      </c>
      <c r="C98" s="217">
        <f>C161</f>
        <v>0</v>
      </c>
      <c r="D98" s="217">
        <f aca="true" t="shared" si="129" ref="D98:M98">D161</f>
        <v>0</v>
      </c>
      <c r="E98" s="217">
        <f t="shared" si="129"/>
        <v>0</v>
      </c>
      <c r="F98" s="217">
        <f t="shared" si="129"/>
        <v>0</v>
      </c>
      <c r="G98" s="217">
        <f t="shared" si="129"/>
        <v>0.8811</v>
      </c>
      <c r="H98" s="217">
        <f t="shared" si="129"/>
        <v>0.7</v>
      </c>
      <c r="I98" s="217">
        <f t="shared" si="129"/>
        <v>0.8</v>
      </c>
      <c r="J98" s="217">
        <f t="shared" si="129"/>
        <v>0.9018</v>
      </c>
      <c r="K98" s="217">
        <f t="shared" si="129"/>
        <v>1.081</v>
      </c>
      <c r="L98" s="217">
        <f t="shared" si="129"/>
        <v>0.9</v>
      </c>
      <c r="M98" s="217">
        <f t="shared" si="129"/>
        <v>1.034</v>
      </c>
      <c r="N98" s="217">
        <f aca="true" t="shared" si="130" ref="N98:S98">N161</f>
        <v>1.2292</v>
      </c>
      <c r="O98" s="217">
        <f t="shared" si="130"/>
        <v>1.6144</v>
      </c>
      <c r="P98" s="525">
        <f t="shared" si="130"/>
        <v>1.122</v>
      </c>
      <c r="Q98" s="525">
        <f t="shared" si="130"/>
        <v>2.0365</v>
      </c>
      <c r="R98" s="525">
        <f t="shared" si="130"/>
        <v>3.613</v>
      </c>
      <c r="S98" s="525">
        <f t="shared" si="130"/>
        <v>5.619999999999999</v>
      </c>
      <c r="T98" s="525">
        <f>T161</f>
        <v>8.2875</v>
      </c>
      <c r="U98" s="525">
        <f>U161</f>
        <v>8.493</v>
      </c>
      <c r="V98" s="428"/>
      <c r="W98" s="288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574"/>
      <c r="AR98" s="129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584"/>
    </row>
    <row r="99" spans="1:57" ht="31.5">
      <c r="A99" s="70" t="s">
        <v>127</v>
      </c>
      <c r="B99" s="70" t="s">
        <v>130</v>
      </c>
      <c r="C99" s="144">
        <f>C101+C104+C105+C107</f>
        <v>548.688</v>
      </c>
      <c r="D99" s="144">
        <f aca="true" t="shared" si="131" ref="D99:L99">D101+D104+D105+D107</f>
        <v>656.1431</v>
      </c>
      <c r="E99" s="144">
        <f t="shared" si="131"/>
        <v>755.84100558</v>
      </c>
      <c r="F99" s="144">
        <f t="shared" si="131"/>
        <v>773.39825693</v>
      </c>
      <c r="G99" s="144">
        <f t="shared" si="131"/>
        <v>633.0027359999999</v>
      </c>
      <c r="H99" s="144">
        <f t="shared" si="131"/>
        <v>590.3382732</v>
      </c>
      <c r="I99" s="144">
        <f t="shared" si="131"/>
        <v>675.4103355</v>
      </c>
      <c r="J99" s="144">
        <f t="shared" si="131"/>
        <v>608.6602141</v>
      </c>
      <c r="K99" s="144">
        <f t="shared" si="131"/>
        <v>541.8295701000001</v>
      </c>
      <c r="L99" s="144">
        <f t="shared" si="131"/>
        <v>672.3000000000001</v>
      </c>
      <c r="M99" s="144">
        <f aca="true" t="shared" si="132" ref="M99:R99">M101+M102+M104+M105+M107</f>
        <v>771.2966872999962</v>
      </c>
      <c r="N99" s="144">
        <f t="shared" si="132"/>
        <v>742.2320168</v>
      </c>
      <c r="O99" s="144">
        <f t="shared" si="132"/>
        <v>779.3932669</v>
      </c>
      <c r="P99" s="524">
        <f t="shared" si="132"/>
        <v>824.4840788000001</v>
      </c>
      <c r="Q99" s="524">
        <f t="shared" si="132"/>
        <v>841.55406494</v>
      </c>
      <c r="R99" s="524">
        <f t="shared" si="132"/>
        <v>1035.49870947</v>
      </c>
      <c r="S99" s="524">
        <f>S101+S102+S104+S105+S107</f>
        <v>1186.8437139791777</v>
      </c>
      <c r="T99" s="524">
        <f>T101+T102+T103+T104+T105+T107</f>
        <v>938.9754127366751</v>
      </c>
      <c r="U99" s="524">
        <f>U101+U102+U103+U104+U105+U107</f>
        <v>1018.5715633193983</v>
      </c>
      <c r="V99" s="443">
        <f>U99/T99-1</f>
        <v>0.08476915316742684</v>
      </c>
      <c r="W99" s="288"/>
      <c r="X99" s="213">
        <f>X101+X104+X105+X107</f>
        <v>546.073</v>
      </c>
      <c r="Y99" s="213">
        <f aca="true" t="shared" si="133" ref="Y99:AF99">Y101+Y104+Y105+Y107</f>
        <v>653.03117</v>
      </c>
      <c r="Z99" s="213">
        <f t="shared" si="133"/>
        <v>761.0391411</v>
      </c>
      <c r="AA99" s="213">
        <f t="shared" si="133"/>
        <v>770.0507097</v>
      </c>
      <c r="AB99" s="213">
        <f t="shared" si="133"/>
        <v>636.7026665</v>
      </c>
      <c r="AC99" s="213">
        <f t="shared" si="133"/>
        <v>590.4000000000001</v>
      </c>
      <c r="AD99" s="213">
        <f t="shared" si="133"/>
        <v>675.4929999999999</v>
      </c>
      <c r="AE99" s="213">
        <f t="shared" si="133"/>
        <v>608.5053711799999</v>
      </c>
      <c r="AF99" s="213">
        <f t="shared" si="133"/>
        <v>538.6055269999999</v>
      </c>
      <c r="AG99" s="213">
        <f aca="true" t="shared" si="134" ref="AG99:AL99">AG101+AG104+AG105+AG107+AG102</f>
        <v>670.1000000000001</v>
      </c>
      <c r="AH99" s="213">
        <f t="shared" si="134"/>
        <v>775.4062183999961</v>
      </c>
      <c r="AI99" s="213">
        <f t="shared" si="134"/>
        <v>743.8007538999999</v>
      </c>
      <c r="AJ99" s="213">
        <f t="shared" si="134"/>
        <v>777.2583269000002</v>
      </c>
      <c r="AK99" s="213">
        <f t="shared" si="134"/>
        <v>826.3171709</v>
      </c>
      <c r="AL99" s="213">
        <f t="shared" si="134"/>
        <v>839.6586038400001</v>
      </c>
      <c r="AM99" s="213">
        <f>AM101+AM104+AM105+AM107+AM102</f>
        <v>1034.9458298</v>
      </c>
      <c r="AN99" s="213">
        <f>AN101+AN104+AN105+AN107+AN102</f>
        <v>1178.1540936</v>
      </c>
      <c r="AO99" s="213">
        <f>AO101+AO104+AO105+AO107+AO102+AO103</f>
        <v>901.2453182999999</v>
      </c>
      <c r="AP99" s="213">
        <f>AP101+AP104+AP105+AP107+AP102+AP103</f>
        <v>1036.4549952</v>
      </c>
      <c r="AQ99" s="573">
        <f>AP99/AO99-1</f>
        <v>0.15002538615683836</v>
      </c>
      <c r="AS99" s="215">
        <f>AS101+AS104+AS105+AS107</f>
        <v>0</v>
      </c>
      <c r="AT99" s="215">
        <f>AT101+AT104+AT105+AT107</f>
        <v>576.8</v>
      </c>
      <c r="AU99" s="215">
        <f>AU101+AU104+AU105+AU107</f>
        <v>649.6</v>
      </c>
      <c r="AV99" s="215">
        <f aca="true" t="shared" si="135" ref="AV99:BA99">AV101+AV102+AV104+AV105+AV107</f>
        <v>749.1557093999972</v>
      </c>
      <c r="AW99" s="215">
        <f t="shared" si="135"/>
        <v>736.4814539</v>
      </c>
      <c r="AX99" s="215">
        <f t="shared" si="135"/>
        <v>761.2784161000001</v>
      </c>
      <c r="AY99" s="215">
        <f t="shared" si="135"/>
        <v>799.0717968999999</v>
      </c>
      <c r="AZ99" s="215">
        <f t="shared" si="135"/>
        <v>796.98551984</v>
      </c>
      <c r="BA99" s="215">
        <f t="shared" si="135"/>
        <v>1047.5374778</v>
      </c>
      <c r="BB99" s="215">
        <f>BB101+BB102+BB104+BB105+BB107</f>
        <v>1133.8138996</v>
      </c>
      <c r="BC99" s="215">
        <f>BC101+BC102+BC103+BC104+BC105+BC107</f>
        <v>943.0716883</v>
      </c>
      <c r="BD99" s="215">
        <f>BD101+BD102+BD103+BD104+BD105+BD107</f>
        <v>1021.8342152</v>
      </c>
      <c r="BE99" s="583">
        <f>BD99/BC99-1</f>
        <v>0.08351700923392036</v>
      </c>
    </row>
    <row r="100" spans="1:57" ht="15.75">
      <c r="A100" s="100" t="s">
        <v>99</v>
      </c>
      <c r="B100" s="100" t="s">
        <v>93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217"/>
      <c r="N100" s="217">
        <f aca="true" t="shared" si="136" ref="N100:S100">N106+N108</f>
        <v>0.10280030000000001</v>
      </c>
      <c r="O100" s="217">
        <f t="shared" si="136"/>
        <v>0.1450999</v>
      </c>
      <c r="P100" s="525">
        <f t="shared" si="136"/>
        <v>0.119946</v>
      </c>
      <c r="Q100" s="525">
        <f t="shared" si="136"/>
        <v>0.09069790000000001</v>
      </c>
      <c r="R100" s="525">
        <f t="shared" si="136"/>
        <v>0.10127127</v>
      </c>
      <c r="S100" s="525">
        <f t="shared" si="136"/>
        <v>0.03900037917759999</v>
      </c>
      <c r="T100" s="525">
        <f>T106+T108</f>
        <v>0.023287032704</v>
      </c>
      <c r="U100" s="525">
        <f>U106+U108</f>
        <v>0.022708423696</v>
      </c>
      <c r="V100" s="428"/>
      <c r="W100" s="288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575"/>
      <c r="AR100" s="129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584"/>
    </row>
    <row r="101" spans="1:57" ht="30">
      <c r="A101" s="130" t="s">
        <v>131</v>
      </c>
      <c r="B101" s="131" t="s">
        <v>82</v>
      </c>
      <c r="C101" s="222">
        <f>C164+C206</f>
        <v>185.951</v>
      </c>
      <c r="D101" s="222">
        <f aca="true" t="shared" si="137" ref="D101:M101">D164+D206</f>
        <v>179.511</v>
      </c>
      <c r="E101" s="222">
        <f t="shared" si="137"/>
        <v>188.90367500000002</v>
      </c>
      <c r="F101" s="222">
        <f t="shared" si="137"/>
        <v>272.47847</v>
      </c>
      <c r="G101" s="222">
        <f t="shared" si="137"/>
        <v>176.61390500000002</v>
      </c>
      <c r="H101" s="222">
        <f t="shared" si="137"/>
        <v>180.54228999999998</v>
      </c>
      <c r="I101" s="222">
        <f t="shared" si="137"/>
        <v>247.64100900000003</v>
      </c>
      <c r="J101" s="222">
        <f t="shared" si="137"/>
        <v>241.88</v>
      </c>
      <c r="K101" s="222">
        <f t="shared" si="137"/>
        <v>226.9374</v>
      </c>
      <c r="L101" s="222">
        <f t="shared" si="137"/>
        <v>230.2</v>
      </c>
      <c r="M101" s="222">
        <f t="shared" si="137"/>
        <v>265.932095</v>
      </c>
      <c r="N101" s="222">
        <f aca="true" t="shared" si="138" ref="N101:S101">N164+N206</f>
        <v>172.304405</v>
      </c>
      <c r="O101" s="222">
        <f t="shared" si="138"/>
        <v>131.97002</v>
      </c>
      <c r="P101" s="526">
        <f t="shared" si="138"/>
        <v>169.90588</v>
      </c>
      <c r="Q101" s="526">
        <f t="shared" si="138"/>
        <v>189.08273</v>
      </c>
      <c r="R101" s="526">
        <f t="shared" si="138"/>
        <v>318.232835</v>
      </c>
      <c r="S101" s="526">
        <f t="shared" si="138"/>
        <v>469.65085000000005</v>
      </c>
      <c r="T101" s="526">
        <f>T164+T206</f>
        <v>285.97253799999993</v>
      </c>
      <c r="U101" s="526">
        <f>U164+U206</f>
        <v>385.20129999999995</v>
      </c>
      <c r="V101" s="428">
        <f>U101/T101-1</f>
        <v>0.3469870313211685</v>
      </c>
      <c r="W101" s="288"/>
      <c r="X101" s="211">
        <f>X164+X206</f>
        <v>183.19899999999998</v>
      </c>
      <c r="Y101" s="211">
        <f aca="true" t="shared" si="139" ref="Y101:AH101">Y164+Y206</f>
        <v>176.4258</v>
      </c>
      <c r="Z101" s="211">
        <f t="shared" si="139"/>
        <v>194.303075</v>
      </c>
      <c r="AA101" s="211">
        <f t="shared" si="139"/>
        <v>269.271075</v>
      </c>
      <c r="AB101" s="211">
        <f t="shared" si="139"/>
        <v>180.287905</v>
      </c>
      <c r="AC101" s="211">
        <f t="shared" si="139"/>
        <v>180.6</v>
      </c>
      <c r="AD101" s="211">
        <f t="shared" si="139"/>
        <v>247.46800000000002</v>
      </c>
      <c r="AE101" s="211">
        <f t="shared" si="139"/>
        <v>241.627505</v>
      </c>
      <c r="AF101" s="211">
        <f t="shared" si="139"/>
        <v>224.033605</v>
      </c>
      <c r="AG101" s="211">
        <f t="shared" si="139"/>
        <v>227.9</v>
      </c>
      <c r="AH101" s="211">
        <f t="shared" si="139"/>
        <v>269.8821</v>
      </c>
      <c r="AI101" s="211">
        <f aca="true" t="shared" si="140" ref="AI101:AN101">AI164+AI206</f>
        <v>174.255405</v>
      </c>
      <c r="AJ101" s="211">
        <f t="shared" si="140"/>
        <v>131.212895</v>
      </c>
      <c r="AK101" s="211">
        <f t="shared" si="140"/>
        <v>170.66907999999998</v>
      </c>
      <c r="AL101" s="211">
        <f t="shared" si="140"/>
        <v>187.47198</v>
      </c>
      <c r="AM101" s="211">
        <f t="shared" si="140"/>
        <v>317.36858500000005</v>
      </c>
      <c r="AN101" s="211">
        <f t="shared" si="140"/>
        <v>466.40142999999995</v>
      </c>
      <c r="AO101" s="211">
        <f>AO164+AO206</f>
        <v>247.122528</v>
      </c>
      <c r="AP101" s="211">
        <f>AP164+AP206</f>
        <v>407.045977</v>
      </c>
      <c r="AQ101" s="575">
        <f>AP101/AO101-1</f>
        <v>0.6471423317586005</v>
      </c>
      <c r="AS101" s="224"/>
      <c r="AT101" s="224">
        <f>Quarterly!FP97</f>
        <v>262.3</v>
      </c>
      <c r="AU101" s="224">
        <f>Quarterly!FS97</f>
        <v>207.7</v>
      </c>
      <c r="AV101" s="224">
        <f>Quarterly!FV97</f>
        <v>249.15932500000002</v>
      </c>
      <c r="AW101" s="224">
        <f>Quarterly!FY97</f>
        <v>175.111955</v>
      </c>
      <c r="AX101" s="224">
        <f>Quarterly!GB97</f>
        <v>130.91582000000002</v>
      </c>
      <c r="AY101" s="224">
        <f>Quarterly!GE97</f>
        <v>159.93552999999997</v>
      </c>
      <c r="AZ101" s="224">
        <f>Quarterly!GH97</f>
        <v>164.02458</v>
      </c>
      <c r="BA101" s="224">
        <f>Quarterly!GK97</f>
        <v>317.27568700000006</v>
      </c>
      <c r="BB101" s="224">
        <f>Quarterly!GN97</f>
        <v>439.905087</v>
      </c>
      <c r="BC101" s="224">
        <f>Quarterly!GQ97</f>
        <v>288.350628</v>
      </c>
      <c r="BD101" s="224">
        <f>Quarterly!GT97</f>
        <v>393.447877</v>
      </c>
      <c r="BE101" s="584">
        <f>BD101/BC101-1</f>
        <v>0.36447726758548993</v>
      </c>
    </row>
    <row r="102" spans="1:57" ht="15.75">
      <c r="A102" s="130" t="s">
        <v>242</v>
      </c>
      <c r="B102" s="116" t="s">
        <v>243</v>
      </c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>
        <f aca="true" t="shared" si="141" ref="M102:R102">M165</f>
        <v>38.4</v>
      </c>
      <c r="N102" s="222">
        <f t="shared" si="141"/>
        <v>60.11924</v>
      </c>
      <c r="O102" s="222">
        <f t="shared" si="141"/>
        <v>71.50765</v>
      </c>
      <c r="P102" s="526">
        <f t="shared" si="141"/>
        <v>119.01540000000001</v>
      </c>
      <c r="Q102" s="526">
        <f t="shared" si="141"/>
        <v>131.30390754</v>
      </c>
      <c r="R102" s="526">
        <f t="shared" si="141"/>
        <v>139.64968</v>
      </c>
      <c r="S102" s="526">
        <f>S165</f>
        <v>170.4513</v>
      </c>
      <c r="T102" s="526">
        <f>T165</f>
        <v>83.66887000000001</v>
      </c>
      <c r="U102" s="526">
        <f>U165</f>
        <v>74.78829999999999</v>
      </c>
      <c r="V102" s="428">
        <f>U102/T102-1</f>
        <v>-0.10613947576918414</v>
      </c>
      <c r="W102" s="288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>
        <f aca="true" t="shared" si="142" ref="AH102:AM102">AH165</f>
        <v>38.5</v>
      </c>
      <c r="AI102" s="211">
        <f t="shared" si="142"/>
        <v>60.12524</v>
      </c>
      <c r="AJ102" s="211">
        <f t="shared" si="142"/>
        <v>70.31365</v>
      </c>
      <c r="AK102" s="211">
        <f t="shared" si="142"/>
        <v>120.18060000000001</v>
      </c>
      <c r="AL102" s="211">
        <f t="shared" si="142"/>
        <v>130.89830754</v>
      </c>
      <c r="AM102" s="211">
        <f t="shared" si="142"/>
        <v>140.10368</v>
      </c>
      <c r="AN102" s="211">
        <f>AN165</f>
        <v>165.4417</v>
      </c>
      <c r="AO102" s="211">
        <f>AO165</f>
        <v>84.84647</v>
      </c>
      <c r="AP102" s="211">
        <f>AP165</f>
        <v>70.9355</v>
      </c>
      <c r="AQ102" s="575">
        <f>AP102/AO102-1</f>
        <v>-0.16395461119360644</v>
      </c>
      <c r="AS102" s="224"/>
      <c r="AT102" s="224"/>
      <c r="AU102" s="224"/>
      <c r="AV102" s="224">
        <f>Quarterly!FV98</f>
        <v>33</v>
      </c>
      <c r="AW102" s="224">
        <f>Quarterly!FY98</f>
        <v>50.9</v>
      </c>
      <c r="AX102" s="224">
        <f>Quarterly!GB98</f>
        <v>75.44866599999999</v>
      </c>
      <c r="AY102" s="224">
        <f>Quarterly!GE98</f>
        <v>121.38410000000003</v>
      </c>
      <c r="AZ102" s="224">
        <f>Quarterly!GH98</f>
        <v>118.62593754000002</v>
      </c>
      <c r="BA102" s="224">
        <f>Quarterly!GK98</f>
        <v>153.43758200000002</v>
      </c>
      <c r="BB102" s="224">
        <f>Quarterly!GN98</f>
        <v>150.163079</v>
      </c>
      <c r="BC102" s="224">
        <f>Quarterly!GQ98</f>
        <v>85.54457</v>
      </c>
      <c r="BD102" s="224">
        <f>Quarterly!GT98</f>
        <v>74.7419</v>
      </c>
      <c r="BE102" s="584">
        <f>BD102/BC102-1</f>
        <v>-0.1262811888586265</v>
      </c>
    </row>
    <row r="103" spans="1:57" ht="30">
      <c r="A103" s="116" t="s">
        <v>287</v>
      </c>
      <c r="B103" s="116" t="s">
        <v>288</v>
      </c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526"/>
      <c r="Q103" s="526"/>
      <c r="R103" s="526"/>
      <c r="S103" s="526"/>
      <c r="T103" s="526">
        <f>T166</f>
        <v>3.86</v>
      </c>
      <c r="U103" s="526">
        <f>U166</f>
        <v>10.719</v>
      </c>
      <c r="V103" s="428">
        <f>U103/T103-1</f>
        <v>1.776943005181347</v>
      </c>
      <c r="W103" s="288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>
        <f>AO166</f>
        <v>3.792</v>
      </c>
      <c r="AP103" s="211">
        <f>AP166</f>
        <v>10.786999999999999</v>
      </c>
      <c r="AQ103" s="575">
        <f>AP103/AO103-1</f>
        <v>1.8446729957805905</v>
      </c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>
        <f>Quarterly!GQ99</f>
        <v>3.7920000000000003</v>
      </c>
      <c r="BD103" s="224">
        <f>Quarterly!GT99</f>
        <v>10.787</v>
      </c>
      <c r="BE103" s="584">
        <f>BD103/BC103-1</f>
        <v>1.8446729957805905</v>
      </c>
    </row>
    <row r="104" spans="1:57" ht="15.75">
      <c r="A104" s="117" t="s">
        <v>83</v>
      </c>
      <c r="B104" s="117" t="s">
        <v>19</v>
      </c>
      <c r="C104" s="222">
        <f>C167+C207</f>
        <v>301.394</v>
      </c>
      <c r="D104" s="222">
        <f aca="true" t="shared" si="143" ref="D104:M104">D167+D207</f>
        <v>415.5221</v>
      </c>
      <c r="E104" s="222">
        <f t="shared" si="143"/>
        <v>502.75122999999996</v>
      </c>
      <c r="F104" s="222">
        <f t="shared" si="143"/>
        <v>449.012145</v>
      </c>
      <c r="G104" s="222">
        <f t="shared" si="143"/>
        <v>409.23609999999996</v>
      </c>
      <c r="H104" s="222">
        <f t="shared" si="143"/>
        <v>356.58119</v>
      </c>
      <c r="I104" s="222">
        <f t="shared" si="143"/>
        <v>364.79299999999995</v>
      </c>
      <c r="J104" s="222">
        <f t="shared" si="143"/>
        <v>304.09999999999997</v>
      </c>
      <c r="K104" s="222">
        <f t="shared" si="143"/>
        <v>252.515955</v>
      </c>
      <c r="L104" s="222">
        <f t="shared" si="143"/>
        <v>382.90000000000003</v>
      </c>
      <c r="M104" s="222">
        <f t="shared" si="143"/>
        <v>404.52449999999607</v>
      </c>
      <c r="N104" s="222">
        <f aca="true" t="shared" si="144" ref="N104:P105">N167+N207</f>
        <v>449.28669</v>
      </c>
      <c r="O104" s="222">
        <f t="shared" si="144"/>
        <v>514.028083</v>
      </c>
      <c r="P104" s="526">
        <f t="shared" si="144"/>
        <v>473.236104</v>
      </c>
      <c r="Q104" s="526">
        <f aca="true" t="shared" si="145" ref="Q104:S105">Q167+Q207</f>
        <v>466.340095</v>
      </c>
      <c r="R104" s="526">
        <f t="shared" si="145"/>
        <v>515.361716</v>
      </c>
      <c r="S104" s="526">
        <f t="shared" si="145"/>
        <v>482.90178000000003</v>
      </c>
      <c r="T104" s="526">
        <f>T167+T207</f>
        <v>504.26151</v>
      </c>
      <c r="U104" s="526">
        <f>U167+U207</f>
        <v>482.72634999999997</v>
      </c>
      <c r="V104" s="428">
        <f>U104/T104-1</f>
        <v>-0.04270633306912519</v>
      </c>
      <c r="W104" s="288"/>
      <c r="X104" s="211">
        <f>X167+X207</f>
        <v>301.394</v>
      </c>
      <c r="Y104" s="211">
        <f aca="true" t="shared" si="146" ref="Y104:AH104">Y167+Y207</f>
        <v>415.5221</v>
      </c>
      <c r="Z104" s="211">
        <f t="shared" si="146"/>
        <v>502.75122999999996</v>
      </c>
      <c r="AA104" s="211">
        <f t="shared" si="146"/>
        <v>449.012145</v>
      </c>
      <c r="AB104" s="211">
        <f t="shared" si="146"/>
        <v>409.23609999999996</v>
      </c>
      <c r="AC104" s="211">
        <f t="shared" si="146"/>
        <v>356.5</v>
      </c>
      <c r="AD104" s="211">
        <f t="shared" si="146"/>
        <v>364.79299999999995</v>
      </c>
      <c r="AE104" s="211">
        <f t="shared" si="146"/>
        <v>304.09999999999997</v>
      </c>
      <c r="AF104" s="211">
        <f t="shared" si="146"/>
        <v>252.49551499999998</v>
      </c>
      <c r="AG104" s="211">
        <f t="shared" si="146"/>
        <v>382.90000000000003</v>
      </c>
      <c r="AH104" s="211">
        <f t="shared" si="146"/>
        <v>404.52449999999607</v>
      </c>
      <c r="AI104" s="211">
        <f aca="true" t="shared" si="147" ref="AI104:AK105">AI167+AI207</f>
        <v>449.28669</v>
      </c>
      <c r="AJ104" s="211">
        <f t="shared" si="147"/>
        <v>514.028083</v>
      </c>
      <c r="AK104" s="211">
        <f t="shared" si="147"/>
        <v>473.236104</v>
      </c>
      <c r="AL104" s="211">
        <f aca="true" t="shared" si="148" ref="AL104:AN105">AL167+AL207</f>
        <v>466.340095</v>
      </c>
      <c r="AM104" s="211">
        <f t="shared" si="148"/>
        <v>515.430986</v>
      </c>
      <c r="AN104" s="211">
        <f t="shared" si="148"/>
        <v>482.52178000000004</v>
      </c>
      <c r="AO104" s="211">
        <f>AO167+AO207</f>
        <v>504.26151</v>
      </c>
      <c r="AP104" s="211">
        <f>AP167+AP207</f>
        <v>482.72635</v>
      </c>
      <c r="AQ104" s="575">
        <f>AP104/AO104-1</f>
        <v>-0.04270633306912508</v>
      </c>
      <c r="AS104" s="224"/>
      <c r="AT104" s="224">
        <f>Quarterly!FP100</f>
        <v>252.5</v>
      </c>
      <c r="AU104" s="224">
        <f>Quarterly!FS100</f>
        <v>383</v>
      </c>
      <c r="AV104" s="224">
        <f>Quarterly!FV100</f>
        <v>404.5452899999971</v>
      </c>
      <c r="AW104" s="224">
        <f>Quarterly!FY100</f>
        <v>450.28669</v>
      </c>
      <c r="AX104" s="224">
        <f>Quarterly!GB100</f>
        <v>493.24519300000003</v>
      </c>
      <c r="AY104" s="224">
        <f>Quarterly!GE100</f>
        <v>455.520804</v>
      </c>
      <c r="AZ104" s="224">
        <f>Quarterly!GH100</f>
        <v>459.48574500000007</v>
      </c>
      <c r="BA104" s="224">
        <f>Quarterly!GK100</f>
        <v>514.78163</v>
      </c>
      <c r="BB104" s="224">
        <f>Quarterly!GN100</f>
        <v>479.95655</v>
      </c>
      <c r="BC104" s="224">
        <f>Quarterly!GQ100</f>
        <v>504.16168000000005</v>
      </c>
      <c r="BD104" s="224">
        <f>Quarterly!GT100</f>
        <v>477.89727</v>
      </c>
      <c r="BE104" s="584">
        <f>BD104/BC104-1</f>
        <v>-0.052095212789674994</v>
      </c>
    </row>
    <row r="105" spans="1:57" ht="15.75">
      <c r="A105" s="117" t="s">
        <v>84</v>
      </c>
      <c r="B105" s="117" t="s">
        <v>85</v>
      </c>
      <c r="C105" s="222">
        <f>C168+C208</f>
        <v>54.754999999999995</v>
      </c>
      <c r="D105" s="222">
        <f aca="true" t="shared" si="149" ref="D105:M105">D168+D208</f>
        <v>54.735</v>
      </c>
      <c r="E105" s="222">
        <f t="shared" si="149"/>
        <v>57.351956</v>
      </c>
      <c r="F105" s="222">
        <f t="shared" si="149"/>
        <v>45.41587</v>
      </c>
      <c r="G105" s="222">
        <f t="shared" si="149"/>
        <v>41.250969</v>
      </c>
      <c r="H105" s="222">
        <f t="shared" si="149"/>
        <v>46.536877000000004</v>
      </c>
      <c r="I105" s="222">
        <f t="shared" si="149"/>
        <v>55.746626000000006</v>
      </c>
      <c r="J105" s="222">
        <f t="shared" si="149"/>
        <v>55.679869999999994</v>
      </c>
      <c r="K105" s="222">
        <f t="shared" si="149"/>
        <v>55.8404</v>
      </c>
      <c r="L105" s="222">
        <f t="shared" si="149"/>
        <v>52.599999999999994</v>
      </c>
      <c r="M105" s="222">
        <f t="shared" si="149"/>
        <v>56.594271</v>
      </c>
      <c r="N105" s="222">
        <f t="shared" si="144"/>
        <v>54.198436</v>
      </c>
      <c r="O105" s="222">
        <f t="shared" si="144"/>
        <v>55.603492</v>
      </c>
      <c r="P105" s="526">
        <f t="shared" si="144"/>
        <v>54.844370999999995</v>
      </c>
      <c r="Q105" s="526">
        <f t="shared" si="145"/>
        <v>47.672423</v>
      </c>
      <c r="R105" s="526">
        <f t="shared" si="145"/>
        <v>55.46354736999999</v>
      </c>
      <c r="S105" s="526">
        <f t="shared" si="145"/>
        <v>57.2067420791776</v>
      </c>
      <c r="T105" s="526">
        <f>T168+T208</f>
        <v>54.8786131366752</v>
      </c>
      <c r="U105" s="526">
        <f>U168+U208</f>
        <v>58.8143655193984</v>
      </c>
      <c r="V105" s="428">
        <f>U105/T105-1</f>
        <v>0.07171741700033873</v>
      </c>
      <c r="W105" s="288"/>
      <c r="X105" s="211">
        <f>X168+X208</f>
        <v>54.876</v>
      </c>
      <c r="Y105" s="211">
        <f aca="true" t="shared" si="150" ref="Y105:AH105">Y168+Y208</f>
        <v>54.68327</v>
      </c>
      <c r="Z105" s="211">
        <f t="shared" si="150"/>
        <v>57.194153</v>
      </c>
      <c r="AA105" s="211">
        <f t="shared" si="150"/>
        <v>45.315758</v>
      </c>
      <c r="AB105" s="211">
        <f t="shared" si="150"/>
        <v>41.269465000000004</v>
      </c>
      <c r="AC105" s="211">
        <f t="shared" si="150"/>
        <v>46.6</v>
      </c>
      <c r="AD105" s="211">
        <f t="shared" si="150"/>
        <v>55.973</v>
      </c>
      <c r="AE105" s="211">
        <f t="shared" si="150"/>
        <v>55.78357</v>
      </c>
      <c r="AF105" s="211">
        <f t="shared" si="150"/>
        <v>55.632014999999996</v>
      </c>
      <c r="AG105" s="211">
        <f t="shared" si="150"/>
        <v>52.6</v>
      </c>
      <c r="AH105" s="211">
        <f t="shared" si="150"/>
        <v>56.74274599999998</v>
      </c>
      <c r="AI105" s="211">
        <f t="shared" si="147"/>
        <v>53.779367</v>
      </c>
      <c r="AJ105" s="211">
        <f t="shared" si="147"/>
        <v>55.464054000000004</v>
      </c>
      <c r="AK105" s="211">
        <f t="shared" si="147"/>
        <v>54.743204</v>
      </c>
      <c r="AL105" s="211">
        <f t="shared" si="148"/>
        <v>47.867853999999994</v>
      </c>
      <c r="AM105" s="211">
        <f t="shared" si="148"/>
        <v>55.19145999999999</v>
      </c>
      <c r="AN105" s="211">
        <f t="shared" si="148"/>
        <v>57.19242</v>
      </c>
      <c r="AO105" s="211">
        <f>AO168+AO208</f>
        <v>54.89024800000001</v>
      </c>
      <c r="AP105" s="211">
        <f>AP168+AP208</f>
        <v>58.636591</v>
      </c>
      <c r="AQ105" s="575">
        <f>AP105/AO105-1</f>
        <v>0.06825152256553824</v>
      </c>
      <c r="AS105" s="224"/>
      <c r="AT105" s="224">
        <f>Quarterly!FP101</f>
        <v>55.6</v>
      </c>
      <c r="AU105" s="224">
        <f>Quarterly!FS101</f>
        <v>52.3</v>
      </c>
      <c r="AV105" s="224">
        <f>Quarterly!FV101</f>
        <v>56.72326200000005</v>
      </c>
      <c r="AW105" s="224">
        <f>Quarterly!FY101</f>
        <v>53.828757</v>
      </c>
      <c r="AX105" s="224">
        <f>Quarterly!GB101</f>
        <v>55.462852</v>
      </c>
      <c r="AY105" s="224">
        <f>Quarterly!GE101</f>
        <v>54.743179999999995</v>
      </c>
      <c r="AZ105" s="224">
        <f>Quarterly!GH101</f>
        <v>47.76889</v>
      </c>
      <c r="BA105" s="224">
        <f>Quarterly!GK101</f>
        <v>55.19146</v>
      </c>
      <c r="BB105" s="224">
        <f>Quarterly!GN101</f>
        <v>57.19242</v>
      </c>
      <c r="BC105" s="224">
        <f>Quarterly!GQ101</f>
        <v>54.890248</v>
      </c>
      <c r="BD105" s="224">
        <f>Quarterly!GT101</f>
        <v>58.636591</v>
      </c>
      <c r="BE105" s="584">
        <f>BD105/BC105-1</f>
        <v>0.06825152256553846</v>
      </c>
    </row>
    <row r="106" spans="1:57" ht="15.75">
      <c r="A106" s="100" t="s">
        <v>99</v>
      </c>
      <c r="B106" s="100" t="s">
        <v>93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17">
        <f aca="true" t="shared" si="151" ref="N106:S106">N169</f>
        <v>0.0835</v>
      </c>
      <c r="O106" s="217">
        <f t="shared" si="151"/>
        <v>0.1326</v>
      </c>
      <c r="P106" s="525">
        <f t="shared" si="151"/>
        <v>0.10936</v>
      </c>
      <c r="Q106" s="525">
        <f t="shared" si="151"/>
        <v>0.07664000000000001</v>
      </c>
      <c r="R106" s="525">
        <f t="shared" si="151"/>
        <v>0.08057537</v>
      </c>
      <c r="S106" s="525">
        <f t="shared" si="151"/>
        <v>0.021148079177599997</v>
      </c>
      <c r="T106" s="525">
        <f>T169</f>
        <v>0.006574132704</v>
      </c>
      <c r="U106" s="525">
        <f>U169</f>
        <v>0.008764523696</v>
      </c>
      <c r="V106" s="428"/>
      <c r="W106" s="288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575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584"/>
    </row>
    <row r="107" spans="1:61" ht="15.75">
      <c r="A107" s="117" t="s">
        <v>86</v>
      </c>
      <c r="B107" s="117" t="s">
        <v>87</v>
      </c>
      <c r="C107" s="222">
        <f>C170+C209</f>
        <v>6.588</v>
      </c>
      <c r="D107" s="222">
        <f aca="true" t="shared" si="152" ref="D107:M107">D170+D209</f>
        <v>6.375</v>
      </c>
      <c r="E107" s="222">
        <f t="shared" si="152"/>
        <v>6.834144580000001</v>
      </c>
      <c r="F107" s="222">
        <f t="shared" si="152"/>
        <v>6.49177193</v>
      </c>
      <c r="G107" s="222">
        <f t="shared" si="152"/>
        <v>5.901762</v>
      </c>
      <c r="H107" s="222">
        <f t="shared" si="152"/>
        <v>6.6779162</v>
      </c>
      <c r="I107" s="222">
        <f t="shared" si="152"/>
        <v>7.2297005</v>
      </c>
      <c r="J107" s="222">
        <f t="shared" si="152"/>
        <v>7.0003441</v>
      </c>
      <c r="K107" s="222">
        <f t="shared" si="152"/>
        <v>6.5358151</v>
      </c>
      <c r="L107" s="222">
        <f t="shared" si="152"/>
        <v>6.6</v>
      </c>
      <c r="M107" s="222">
        <f t="shared" si="152"/>
        <v>5.8458213</v>
      </c>
      <c r="N107" s="222">
        <f aca="true" t="shared" si="153" ref="N107:P108">N170+N209</f>
        <v>6.3232458</v>
      </c>
      <c r="O107" s="222">
        <f t="shared" si="153"/>
        <v>6.284021900000001</v>
      </c>
      <c r="P107" s="526">
        <f t="shared" si="153"/>
        <v>7.482323800000001</v>
      </c>
      <c r="Q107" s="526">
        <f aca="true" t="shared" si="154" ref="Q107:S108">Q170+Q209</f>
        <v>7.1549094</v>
      </c>
      <c r="R107" s="526">
        <f t="shared" si="154"/>
        <v>6.790931100000001</v>
      </c>
      <c r="S107" s="526">
        <f t="shared" si="154"/>
        <v>6.633041900000001</v>
      </c>
      <c r="T107" s="526">
        <f>T170+T209</f>
        <v>6.3338816</v>
      </c>
      <c r="U107" s="526">
        <f>U170+U209</f>
        <v>6.3222478</v>
      </c>
      <c r="V107" s="428">
        <f>U107/T107-1</f>
        <v>-0.001836756784338922</v>
      </c>
      <c r="W107" s="288"/>
      <c r="X107" s="211">
        <f>X170+X209</f>
        <v>6.604</v>
      </c>
      <c r="Y107" s="211">
        <f aca="true" t="shared" si="155" ref="Y107:AH107">Y170+Y209</f>
        <v>6.4</v>
      </c>
      <c r="Z107" s="211">
        <f t="shared" si="155"/>
        <v>6.7906831</v>
      </c>
      <c r="AA107" s="211">
        <f t="shared" si="155"/>
        <v>6.4517317</v>
      </c>
      <c r="AB107" s="211">
        <f t="shared" si="155"/>
        <v>5.9091965</v>
      </c>
      <c r="AC107" s="211">
        <f t="shared" si="155"/>
        <v>6.7</v>
      </c>
      <c r="AD107" s="211">
        <f t="shared" si="155"/>
        <v>7.259</v>
      </c>
      <c r="AE107" s="211">
        <f t="shared" si="155"/>
        <v>6.99429618</v>
      </c>
      <c r="AF107" s="211">
        <f t="shared" si="155"/>
        <v>6.444392000000001</v>
      </c>
      <c r="AG107" s="211">
        <f t="shared" si="155"/>
        <v>6.7</v>
      </c>
      <c r="AH107" s="211">
        <f t="shared" si="155"/>
        <v>5.756872399999999</v>
      </c>
      <c r="AI107" s="211">
        <f aca="true" t="shared" si="156" ref="AI107:AN107">AI170+AI209</f>
        <v>6.3540519</v>
      </c>
      <c r="AJ107" s="211">
        <f t="shared" si="156"/>
        <v>6.2396449</v>
      </c>
      <c r="AK107" s="211">
        <f t="shared" si="156"/>
        <v>7.4881829</v>
      </c>
      <c r="AL107" s="211">
        <f t="shared" si="156"/>
        <v>7.0803673</v>
      </c>
      <c r="AM107" s="211">
        <f t="shared" si="156"/>
        <v>6.8511188</v>
      </c>
      <c r="AN107" s="211">
        <f t="shared" si="156"/>
        <v>6.5967636</v>
      </c>
      <c r="AO107" s="211">
        <f>AO170+AO209</f>
        <v>6.332562299999999</v>
      </c>
      <c r="AP107" s="211">
        <f>AP170+AP209</f>
        <v>6.323577199999999</v>
      </c>
      <c r="AQ107" s="575">
        <f>AP107/AO107-1</f>
        <v>-0.0014188727365540554</v>
      </c>
      <c r="AS107" s="224"/>
      <c r="AT107" s="224">
        <f>Quarterly!FP103</f>
        <v>6.4</v>
      </c>
      <c r="AU107" s="224">
        <f>Quarterly!FS103</f>
        <v>6.6</v>
      </c>
      <c r="AV107" s="224">
        <f>Quarterly!FV103</f>
        <v>5.727832399999995</v>
      </c>
      <c r="AW107" s="224">
        <f>Quarterly!FY103</f>
        <v>6.354051899999999</v>
      </c>
      <c r="AX107" s="224">
        <f>Quarterly!GB103</f>
        <v>6.205885100000001</v>
      </c>
      <c r="AY107" s="224">
        <f>Quarterly!GE103</f>
        <v>7.488182899999999</v>
      </c>
      <c r="AZ107" s="224">
        <f>Quarterly!GH103</f>
        <v>7.080367300000001</v>
      </c>
      <c r="BA107" s="224">
        <f>Quarterly!GK103</f>
        <v>6.851118800000001</v>
      </c>
      <c r="BB107" s="224">
        <f>Quarterly!GN103</f>
        <v>6.596763600000001</v>
      </c>
      <c r="BC107" s="224">
        <f>Quarterly!GQ103</f>
        <v>6.332562300000001</v>
      </c>
      <c r="BD107" s="224">
        <f>Quarterly!GT103</f>
        <v>6.323577200000002</v>
      </c>
      <c r="BE107" s="584">
        <f>BD107/BC107-1</f>
        <v>-0.0014188727365539444</v>
      </c>
      <c r="BG107" s="445"/>
      <c r="BH107" s="445"/>
      <c r="BI107" s="417"/>
    </row>
    <row r="108" spans="1:57" ht="15.75">
      <c r="A108" s="100" t="s">
        <v>99</v>
      </c>
      <c r="B108" s="100" t="s">
        <v>93</v>
      </c>
      <c r="C108" s="217">
        <f>C171+C210</f>
        <v>0</v>
      </c>
      <c r="D108" s="217">
        <f aca="true" t="shared" si="157" ref="D108:M108">D171+D210</f>
        <v>0</v>
      </c>
      <c r="E108" s="217">
        <f t="shared" si="157"/>
        <v>0.0106787</v>
      </c>
      <c r="F108" s="217">
        <f t="shared" si="157"/>
        <v>0.0099831</v>
      </c>
      <c r="G108" s="217">
        <f t="shared" si="157"/>
        <v>0.005133</v>
      </c>
      <c r="H108" s="217">
        <f t="shared" si="157"/>
        <v>0.004508</v>
      </c>
      <c r="I108" s="217">
        <f t="shared" si="157"/>
        <v>0</v>
      </c>
      <c r="J108" s="217">
        <f t="shared" si="157"/>
        <v>0</v>
      </c>
      <c r="K108" s="217">
        <f t="shared" si="157"/>
        <v>0.0045995</v>
      </c>
      <c r="L108" s="217">
        <f t="shared" si="157"/>
        <v>0.005</v>
      </c>
      <c r="M108" s="217">
        <f t="shared" si="157"/>
        <v>0.024651437</v>
      </c>
      <c r="N108" s="217">
        <f t="shared" si="153"/>
        <v>0.0193003</v>
      </c>
      <c r="O108" s="217">
        <f t="shared" si="153"/>
        <v>0.0124999</v>
      </c>
      <c r="P108" s="525">
        <f t="shared" si="153"/>
        <v>0.010586</v>
      </c>
      <c r="Q108" s="525">
        <f t="shared" si="154"/>
        <v>0.0140579</v>
      </c>
      <c r="R108" s="525">
        <f t="shared" si="154"/>
        <v>0.0206959</v>
      </c>
      <c r="S108" s="525">
        <f t="shared" si="154"/>
        <v>0.017852299999999998</v>
      </c>
      <c r="T108" s="525">
        <f>T171+T210</f>
        <v>0.0167129</v>
      </c>
      <c r="U108" s="525">
        <f>U171+U210</f>
        <v>0.0139439</v>
      </c>
      <c r="V108" s="428"/>
      <c r="W108" s="288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574"/>
      <c r="AR108" s="129"/>
      <c r="AS108" s="221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584"/>
    </row>
    <row r="109" spans="1:57" ht="31.5">
      <c r="A109" s="290" t="s">
        <v>181</v>
      </c>
      <c r="B109" s="290" t="s">
        <v>197</v>
      </c>
      <c r="C109" s="291">
        <f aca="true" t="shared" si="158" ref="C109:M109">C69-C70+C71-C72+C83-C84+C89-C90+C99</f>
        <v>4358.325</v>
      </c>
      <c r="D109" s="291">
        <f t="shared" si="158"/>
        <v>4398.9961</v>
      </c>
      <c r="E109" s="291">
        <f t="shared" si="158"/>
        <v>4616.77195108</v>
      </c>
      <c r="F109" s="291">
        <f t="shared" si="158"/>
        <v>4188.68243893</v>
      </c>
      <c r="G109" s="291">
        <f t="shared" si="158"/>
        <v>4640.4404269999995</v>
      </c>
      <c r="H109" s="291">
        <f t="shared" si="158"/>
        <v>4674.6245131999995</v>
      </c>
      <c r="I109" s="291">
        <f t="shared" si="158"/>
        <v>4927.1074555</v>
      </c>
      <c r="J109" s="291">
        <f t="shared" si="158"/>
        <v>4891.735108599999</v>
      </c>
      <c r="K109" s="291">
        <f t="shared" si="158"/>
        <v>5255.216482100001</v>
      </c>
      <c r="L109" s="291">
        <f t="shared" si="158"/>
        <v>5223.4000000000015</v>
      </c>
      <c r="M109" s="291">
        <f t="shared" si="158"/>
        <v>5356.839154299996</v>
      </c>
      <c r="N109" s="291">
        <f aca="true" t="shared" si="159" ref="N109:S109">N69-N70+N71-N72+N83-N84+N89-N90+N99-N100</f>
        <v>6149.6760235</v>
      </c>
      <c r="O109" s="291">
        <f t="shared" si="159"/>
        <v>7063.103924000001</v>
      </c>
      <c r="P109" s="527">
        <f t="shared" si="159"/>
        <v>7250.7022768</v>
      </c>
      <c r="Q109" s="527">
        <f t="shared" si="159"/>
        <v>7165.878314500002</v>
      </c>
      <c r="R109" s="527">
        <f t="shared" si="159"/>
        <v>7693.282142700001</v>
      </c>
      <c r="S109" s="527">
        <f t="shared" si="159"/>
        <v>8180.048177600001</v>
      </c>
      <c r="T109" s="527">
        <f>T69-T70+T71-T72+T83-T84+T89-T90+T99-T100</f>
        <v>8102.121947703971</v>
      </c>
      <c r="U109" s="527">
        <f>U69-U70+U71-U72+U83-U84+U89-U90+U99-U100</f>
        <v>8252.800287565702</v>
      </c>
      <c r="V109" s="443">
        <f>U109/T109-1</f>
        <v>0.01859739224295809</v>
      </c>
      <c r="W109" s="288"/>
      <c r="X109" s="292">
        <f aca="true" t="shared" si="160" ref="X109:AI109">X69-X70+X71-X72+X83-X84+X89-X90+X99</f>
        <v>4262.281440000001</v>
      </c>
      <c r="Y109" s="292">
        <f t="shared" si="160"/>
        <v>4330.036525</v>
      </c>
      <c r="Z109" s="292">
        <f t="shared" si="160"/>
        <v>4644.1087671000005</v>
      </c>
      <c r="AA109" s="292">
        <f t="shared" si="160"/>
        <v>4144.169408199999</v>
      </c>
      <c r="AB109" s="292">
        <f t="shared" si="160"/>
        <v>4706.706582500001</v>
      </c>
      <c r="AC109" s="292">
        <f t="shared" si="160"/>
        <v>4635.1</v>
      </c>
      <c r="AD109" s="292">
        <f t="shared" si="160"/>
        <v>4960.588153999999</v>
      </c>
      <c r="AE109" s="292">
        <f t="shared" si="160"/>
        <v>4856.953391680001</v>
      </c>
      <c r="AF109" s="292">
        <f t="shared" si="160"/>
        <v>5269.117281</v>
      </c>
      <c r="AG109" s="292">
        <f t="shared" si="160"/>
        <v>5241.1</v>
      </c>
      <c r="AH109" s="292">
        <f t="shared" si="160"/>
        <v>5342.140828899995</v>
      </c>
      <c r="AI109" s="292">
        <f t="shared" si="160"/>
        <v>6153.7866114</v>
      </c>
      <c r="AJ109" s="292">
        <f aca="true" t="shared" si="161" ref="AJ109:AO109">AJ69-AJ70+AJ71-AJ72+AJ83-AJ84+AJ89-AJ90+AJ99</f>
        <v>7004.146976399999</v>
      </c>
      <c r="AK109" s="292">
        <f t="shared" si="161"/>
        <v>7275.7367799</v>
      </c>
      <c r="AL109" s="292">
        <f t="shared" si="161"/>
        <v>7177.095901839999</v>
      </c>
      <c r="AM109" s="292">
        <f t="shared" si="161"/>
        <v>7651.268515800001</v>
      </c>
      <c r="AN109" s="292">
        <f t="shared" si="161"/>
        <v>8037.0023632</v>
      </c>
      <c r="AO109" s="292">
        <f t="shared" si="161"/>
        <v>7959.4073812999995</v>
      </c>
      <c r="AP109" s="292">
        <f>AP69-AP70+AP71-AP72+AP83-AP84+AP89-AP90+AP99</f>
        <v>8155.6960757</v>
      </c>
      <c r="AQ109" s="576">
        <f>AP109/AO109-1</f>
        <v>0.024661219736178408</v>
      </c>
      <c r="AR109" s="68"/>
      <c r="AS109" s="284">
        <f aca="true" t="shared" si="162" ref="AS109:AX109">AS69+AS71+AS83+AS89+AS99</f>
        <v>0</v>
      </c>
      <c r="AT109" s="284">
        <f t="shared" si="162"/>
        <v>5257.492676000001</v>
      </c>
      <c r="AU109" s="284">
        <f t="shared" si="162"/>
        <v>5255.140739500001</v>
      </c>
      <c r="AV109" s="284">
        <f t="shared" si="162"/>
        <v>5276.3655808999965</v>
      </c>
      <c r="AW109" s="284">
        <f t="shared" si="162"/>
        <v>6012.203920999999</v>
      </c>
      <c r="AX109" s="284">
        <f t="shared" si="162"/>
        <v>7019.8389136</v>
      </c>
      <c r="AY109" s="284">
        <f>AY69+AY71+AY83+AY89+AY99</f>
        <v>7053.1157663</v>
      </c>
      <c r="AZ109" s="284">
        <f>AZ69+AZ71+AZ83+AZ89+AZ99</f>
        <v>7278.60789784</v>
      </c>
      <c r="BA109" s="284">
        <f>BA69+BA71+BA83+BA89+BA99</f>
        <v>7519.333704799998</v>
      </c>
      <c r="BB109" s="284">
        <f>BB69+BB71+BB83+BB89+BB99</f>
        <v>8134.837601199998</v>
      </c>
      <c r="BC109" s="284">
        <f>BC69+BC71+BC83+BC89+BC99</f>
        <v>8329.9034933</v>
      </c>
      <c r="BD109" s="284">
        <f>BD69+BD71+BD83+BD89+BD99</f>
        <v>8169.703719000001</v>
      </c>
      <c r="BE109" s="665">
        <f>BD109/BC109-1</f>
        <v>-0.019231888392086782</v>
      </c>
    </row>
    <row r="110" spans="1:57" ht="15.75">
      <c r="A110" s="133"/>
      <c r="B110" s="133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444"/>
      <c r="W110" s="288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577"/>
      <c r="BE110" s="585"/>
    </row>
    <row r="111" spans="1:57" ht="15.75">
      <c r="A111" s="98" t="s">
        <v>154</v>
      </c>
      <c r="B111" s="98" t="s">
        <v>155</v>
      </c>
      <c r="C111" s="144"/>
      <c r="D111" s="144"/>
      <c r="E111" s="144"/>
      <c r="F111" s="144"/>
      <c r="G111" s="144"/>
      <c r="H111" s="144"/>
      <c r="I111" s="144"/>
      <c r="J111" s="144">
        <f aca="true" t="shared" si="163" ref="J111:O111">J219</f>
        <v>21.051</v>
      </c>
      <c r="K111" s="144">
        <f t="shared" si="163"/>
        <v>641.625</v>
      </c>
      <c r="L111" s="144">
        <f t="shared" si="163"/>
        <v>891.001</v>
      </c>
      <c r="M111" s="144">
        <f t="shared" si="163"/>
        <v>1135.232</v>
      </c>
      <c r="N111" s="144">
        <f t="shared" si="163"/>
        <v>1142.433</v>
      </c>
      <c r="O111" s="144">
        <f t="shared" si="163"/>
        <v>1167.066</v>
      </c>
      <c r="P111" s="144">
        <f aca="true" t="shared" si="164" ref="P111:U111">P219</f>
        <v>1213.579</v>
      </c>
      <c r="Q111" s="144">
        <f t="shared" si="164"/>
        <v>1084.491</v>
      </c>
      <c r="R111" s="144">
        <f t="shared" si="164"/>
        <v>1182.417</v>
      </c>
      <c r="S111" s="144">
        <f t="shared" si="164"/>
        <v>1255.07</v>
      </c>
      <c r="T111" s="144">
        <f t="shared" si="164"/>
        <v>1170.38</v>
      </c>
      <c r="U111" s="144">
        <f t="shared" si="164"/>
        <v>1164.179</v>
      </c>
      <c r="V111" s="443">
        <f>U111/T111-1</f>
        <v>-0.0052982791913737115</v>
      </c>
      <c r="W111" s="288"/>
      <c r="X111" s="213"/>
      <c r="Y111" s="213"/>
      <c r="Z111" s="213"/>
      <c r="AA111" s="213"/>
      <c r="AB111" s="213"/>
      <c r="AC111" s="213"/>
      <c r="AD111" s="89"/>
      <c r="AE111" s="89">
        <f aca="true" t="shared" si="165" ref="AE111:AJ111">AE219-AE220</f>
        <v>0</v>
      </c>
      <c r="AF111" s="89">
        <f t="shared" si="165"/>
        <v>7.613000000000056</v>
      </c>
      <c r="AG111" s="89">
        <f t="shared" si="165"/>
        <v>179.76</v>
      </c>
      <c r="AH111" s="89">
        <f t="shared" si="165"/>
        <v>355.97880999999995</v>
      </c>
      <c r="AI111" s="89">
        <f t="shared" si="165"/>
        <v>339.4595099999999</v>
      </c>
      <c r="AJ111" s="89">
        <f t="shared" si="165"/>
        <v>259.5117499999999</v>
      </c>
      <c r="AK111" s="89">
        <f aca="true" t="shared" si="166" ref="AK111:AP111">AK219-AK220</f>
        <v>266.73649999999986</v>
      </c>
      <c r="AL111" s="89">
        <f t="shared" si="166"/>
        <v>286.6332500000001</v>
      </c>
      <c r="AM111" s="89">
        <f t="shared" si="166"/>
        <v>291.1878499999998</v>
      </c>
      <c r="AN111" s="89">
        <f t="shared" si="166"/>
        <v>302.6128500000002</v>
      </c>
      <c r="AO111" s="89">
        <f t="shared" si="166"/>
        <v>231.98410000000024</v>
      </c>
      <c r="AP111" s="89">
        <f t="shared" si="166"/>
        <v>128.54419999999982</v>
      </c>
      <c r="AQ111" s="573">
        <f>AP111/AO111-1</f>
        <v>-0.445892196922118</v>
      </c>
      <c r="AS111" s="92">
        <f>AE111</f>
        <v>0</v>
      </c>
      <c r="AT111" s="92">
        <f>Quarterly!FP107</f>
        <v>7.61345</v>
      </c>
      <c r="AU111" s="92">
        <f>Quarterly!FS107</f>
        <v>179.76</v>
      </c>
      <c r="AV111" s="92">
        <f>Quarterly!FV107</f>
        <v>355.9787410000001</v>
      </c>
      <c r="AW111" s="92">
        <f>Quarterly!FY107</f>
        <v>339.4594599999998</v>
      </c>
      <c r="AX111" s="92">
        <f>Quarterly!GB107</f>
        <v>259.51155000000006</v>
      </c>
      <c r="AY111" s="92">
        <f>Quarterly!GE107</f>
        <v>258.98119999999994</v>
      </c>
      <c r="AZ111" s="92">
        <f>Quarterly!GH107</f>
        <v>290.290158</v>
      </c>
      <c r="BA111" s="92">
        <f>Quarterly!GK107</f>
        <v>287.1783479999999</v>
      </c>
      <c r="BB111" s="92">
        <f>Quarterly!GN107</f>
        <v>306.4971499999999</v>
      </c>
      <c r="BC111" s="92">
        <f>Quarterly!GQ107</f>
        <v>231.98410000000013</v>
      </c>
      <c r="BD111" s="92">
        <f>Quarterly!GT107</f>
        <v>140.09579999999983</v>
      </c>
      <c r="BE111" s="583">
        <f>BD111/BC111-1</f>
        <v>-0.39609740495146106</v>
      </c>
    </row>
    <row r="112" spans="1:57" ht="15.75">
      <c r="A112" s="100" t="s">
        <v>99</v>
      </c>
      <c r="B112" s="100" t="s">
        <v>93</v>
      </c>
      <c r="C112" s="217"/>
      <c r="D112" s="217"/>
      <c r="E112" s="217"/>
      <c r="F112" s="217"/>
      <c r="G112" s="217"/>
      <c r="H112" s="217"/>
      <c r="I112" s="217"/>
      <c r="J112" s="217">
        <f aca="true" t="shared" si="167" ref="J112:U112">AE220</f>
        <v>21.051</v>
      </c>
      <c r="K112" s="217">
        <f t="shared" si="167"/>
        <v>629.914</v>
      </c>
      <c r="L112" s="217">
        <f t="shared" si="167"/>
        <v>717.603</v>
      </c>
      <c r="M112" s="217">
        <f t="shared" si="167"/>
        <v>774.875291</v>
      </c>
      <c r="N112" s="217">
        <f t="shared" si="167"/>
        <v>803.21775</v>
      </c>
      <c r="O112" s="217">
        <f t="shared" si="167"/>
        <v>898.1476</v>
      </c>
      <c r="P112" s="217">
        <f t="shared" si="167"/>
        <v>950.003</v>
      </c>
      <c r="Q112" s="217">
        <f t="shared" si="167"/>
        <v>792.28775</v>
      </c>
      <c r="R112" s="217">
        <f t="shared" si="167"/>
        <v>899.7183000000002</v>
      </c>
      <c r="S112" s="217">
        <f t="shared" si="167"/>
        <v>950.1241</v>
      </c>
      <c r="T112" s="217">
        <f t="shared" si="167"/>
        <v>930.82785</v>
      </c>
      <c r="U112" s="217">
        <f t="shared" si="167"/>
        <v>1037.1238</v>
      </c>
      <c r="V112" s="428"/>
      <c r="W112" s="288"/>
      <c r="X112" s="220"/>
      <c r="Y112" s="220"/>
      <c r="Z112" s="220"/>
      <c r="AA112" s="220"/>
      <c r="AB112" s="211"/>
      <c r="AC112" s="220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578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586"/>
    </row>
    <row r="113" spans="1:60" ht="31.5">
      <c r="A113" s="290" t="s">
        <v>182</v>
      </c>
      <c r="B113" s="290" t="s">
        <v>185</v>
      </c>
      <c r="C113" s="222"/>
      <c r="D113" s="222"/>
      <c r="E113" s="222"/>
      <c r="F113" s="222"/>
      <c r="G113" s="222"/>
      <c r="H113" s="222"/>
      <c r="I113" s="291"/>
      <c r="J113" s="291">
        <f aca="true" t="shared" si="168" ref="J113:P113">J111-J112</f>
        <v>0</v>
      </c>
      <c r="K113" s="291">
        <f t="shared" si="168"/>
        <v>11.711000000000013</v>
      </c>
      <c r="L113" s="291">
        <f t="shared" si="168"/>
        <v>173.39800000000002</v>
      </c>
      <c r="M113" s="291">
        <f t="shared" si="168"/>
        <v>360.356709</v>
      </c>
      <c r="N113" s="291">
        <f t="shared" si="168"/>
        <v>339.21524999999997</v>
      </c>
      <c r="O113" s="291">
        <f t="shared" si="168"/>
        <v>268.9184</v>
      </c>
      <c r="P113" s="291">
        <f t="shared" si="168"/>
        <v>263.5759999999999</v>
      </c>
      <c r="Q113" s="291">
        <f>Q111-Q112</f>
        <v>292.20325</v>
      </c>
      <c r="R113" s="291">
        <f>R111-R112</f>
        <v>282.6986999999997</v>
      </c>
      <c r="S113" s="291">
        <f>S111-S112</f>
        <v>304.94589999999994</v>
      </c>
      <c r="T113" s="291">
        <f>T111-T112</f>
        <v>239.5521500000001</v>
      </c>
      <c r="U113" s="291">
        <f>U111-U112</f>
        <v>127.05520000000001</v>
      </c>
      <c r="V113" s="443">
        <f>U113/T113-1</f>
        <v>-0.4696136102305909</v>
      </c>
      <c r="W113" s="288"/>
      <c r="X113" s="286"/>
      <c r="Y113" s="286"/>
      <c r="Z113" s="286"/>
      <c r="AA113" s="286"/>
      <c r="AB113" s="286"/>
      <c r="AC113" s="286"/>
      <c r="AD113" s="287"/>
      <c r="AE113" s="287">
        <f aca="true" t="shared" si="169" ref="AE113:AJ113">AE111-AE112</f>
        <v>0</v>
      </c>
      <c r="AF113" s="287">
        <f t="shared" si="169"/>
        <v>7.613000000000056</v>
      </c>
      <c r="AG113" s="287">
        <f t="shared" si="169"/>
        <v>179.76</v>
      </c>
      <c r="AH113" s="287">
        <f t="shared" si="169"/>
        <v>355.97880999999995</v>
      </c>
      <c r="AI113" s="287">
        <f t="shared" si="169"/>
        <v>339.4595099999999</v>
      </c>
      <c r="AJ113" s="287">
        <f t="shared" si="169"/>
        <v>259.5117499999999</v>
      </c>
      <c r="AK113" s="287">
        <f aca="true" t="shared" si="170" ref="AK113:AP113">AK111-AK112</f>
        <v>266.73649999999986</v>
      </c>
      <c r="AL113" s="287">
        <f t="shared" si="170"/>
        <v>286.6332500000001</v>
      </c>
      <c r="AM113" s="287">
        <f t="shared" si="170"/>
        <v>291.1878499999998</v>
      </c>
      <c r="AN113" s="287">
        <f t="shared" si="170"/>
        <v>302.6128500000002</v>
      </c>
      <c r="AO113" s="287">
        <f t="shared" si="170"/>
        <v>231.98410000000024</v>
      </c>
      <c r="AP113" s="287">
        <f t="shared" si="170"/>
        <v>128.54419999999982</v>
      </c>
      <c r="AQ113" s="576">
        <f>AP113/AO113-1</f>
        <v>-0.445892196922118</v>
      </c>
      <c r="AS113" s="285">
        <f aca="true" t="shared" si="171" ref="AS113:AX113">AS111-AS112</f>
        <v>0</v>
      </c>
      <c r="AT113" s="285">
        <f t="shared" si="171"/>
        <v>7.61345</v>
      </c>
      <c r="AU113" s="285">
        <f t="shared" si="171"/>
        <v>179.76</v>
      </c>
      <c r="AV113" s="285">
        <f t="shared" si="171"/>
        <v>355.9787410000001</v>
      </c>
      <c r="AW113" s="285">
        <f t="shared" si="171"/>
        <v>339.4594599999998</v>
      </c>
      <c r="AX113" s="285">
        <f t="shared" si="171"/>
        <v>259.51155000000006</v>
      </c>
      <c r="AY113" s="285">
        <f>AY111-AY112</f>
        <v>258.98119999999994</v>
      </c>
      <c r="AZ113" s="285">
        <f>AZ111-AZ112</f>
        <v>290.290158</v>
      </c>
      <c r="BA113" s="285">
        <f>BA111-BA112</f>
        <v>287.1783479999999</v>
      </c>
      <c r="BB113" s="285">
        <f>BB111-BB112</f>
        <v>306.4971499999999</v>
      </c>
      <c r="BC113" s="285">
        <f>BC111-BC112</f>
        <v>231.98410000000013</v>
      </c>
      <c r="BD113" s="285">
        <f>BD111-BD112</f>
        <v>140.09579999999983</v>
      </c>
      <c r="BE113" s="665">
        <f>BD113/BC113-1</f>
        <v>-0.39609740495146106</v>
      </c>
      <c r="BG113" s="445"/>
      <c r="BH113" s="445"/>
    </row>
    <row r="114" spans="1:57" ht="15.75">
      <c r="A114" s="59"/>
      <c r="B114" s="60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444"/>
      <c r="W114" s="288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577"/>
      <c r="BE114" s="585"/>
    </row>
    <row r="115" spans="1:60" ht="31.5">
      <c r="A115" s="298" t="s">
        <v>189</v>
      </c>
      <c r="B115" s="298" t="s">
        <v>190</v>
      </c>
      <c r="C115" s="296">
        <f aca="true" t="shared" si="172" ref="C115:M115">C109+C113</f>
        <v>4358.325</v>
      </c>
      <c r="D115" s="296">
        <f t="shared" si="172"/>
        <v>4398.9961</v>
      </c>
      <c r="E115" s="296">
        <f t="shared" si="172"/>
        <v>4616.77195108</v>
      </c>
      <c r="F115" s="296">
        <f t="shared" si="172"/>
        <v>4188.68243893</v>
      </c>
      <c r="G115" s="296">
        <f t="shared" si="172"/>
        <v>4640.4404269999995</v>
      </c>
      <c r="H115" s="296">
        <f t="shared" si="172"/>
        <v>4674.6245131999995</v>
      </c>
      <c r="I115" s="296">
        <f t="shared" si="172"/>
        <v>4927.1074555</v>
      </c>
      <c r="J115" s="296">
        <f t="shared" si="172"/>
        <v>4891.735108599999</v>
      </c>
      <c r="K115" s="296">
        <f t="shared" si="172"/>
        <v>5266.927482100001</v>
      </c>
      <c r="L115" s="296">
        <f t="shared" si="172"/>
        <v>5396.798000000002</v>
      </c>
      <c r="M115" s="296">
        <f t="shared" si="172"/>
        <v>5717.195863299996</v>
      </c>
      <c r="N115" s="296">
        <f aca="true" t="shared" si="173" ref="N115:S115">N109+N113</f>
        <v>6488.8912735</v>
      </c>
      <c r="O115" s="296">
        <f t="shared" si="173"/>
        <v>7332.022324000001</v>
      </c>
      <c r="P115" s="296">
        <f t="shared" si="173"/>
        <v>7514.2782768</v>
      </c>
      <c r="Q115" s="296">
        <f t="shared" si="173"/>
        <v>7458.081564500002</v>
      </c>
      <c r="R115" s="296">
        <f t="shared" si="173"/>
        <v>7975.980842700001</v>
      </c>
      <c r="S115" s="296">
        <f t="shared" si="173"/>
        <v>8484.9940776</v>
      </c>
      <c r="T115" s="296">
        <f>T109+T113</f>
        <v>8341.674097703972</v>
      </c>
      <c r="U115" s="296">
        <f>U109+U113</f>
        <v>8379.855487565703</v>
      </c>
      <c r="V115" s="438">
        <f>U115/T115-1</f>
        <v>0.0045771855163030395</v>
      </c>
      <c r="W115" s="288"/>
      <c r="X115" s="296">
        <f aca="true" t="shared" si="174" ref="X115:AI115">X109+X113</f>
        <v>4262.281440000001</v>
      </c>
      <c r="Y115" s="296">
        <f t="shared" si="174"/>
        <v>4330.036525</v>
      </c>
      <c r="Z115" s="296">
        <f t="shared" si="174"/>
        <v>4644.1087671000005</v>
      </c>
      <c r="AA115" s="296">
        <f t="shared" si="174"/>
        <v>4144.169408199999</v>
      </c>
      <c r="AB115" s="296">
        <f t="shared" si="174"/>
        <v>4706.706582500001</v>
      </c>
      <c r="AC115" s="296">
        <f t="shared" si="174"/>
        <v>4635.1</v>
      </c>
      <c r="AD115" s="296">
        <f t="shared" si="174"/>
        <v>4960.588153999999</v>
      </c>
      <c r="AE115" s="296">
        <f t="shared" si="174"/>
        <v>4856.953391680001</v>
      </c>
      <c r="AF115" s="296">
        <f t="shared" si="174"/>
        <v>5276.730281</v>
      </c>
      <c r="AG115" s="296">
        <f t="shared" si="174"/>
        <v>5420.860000000001</v>
      </c>
      <c r="AH115" s="296">
        <f t="shared" si="174"/>
        <v>5698.119638899994</v>
      </c>
      <c r="AI115" s="296">
        <f t="shared" si="174"/>
        <v>6493.2461213999995</v>
      </c>
      <c r="AJ115" s="296">
        <f aca="true" t="shared" si="175" ref="AJ115:AO115">AJ109+AJ113</f>
        <v>7263.658726399999</v>
      </c>
      <c r="AK115" s="296">
        <f t="shared" si="175"/>
        <v>7542.4732799</v>
      </c>
      <c r="AL115" s="296">
        <f t="shared" si="175"/>
        <v>7463.729151839999</v>
      </c>
      <c r="AM115" s="296">
        <f t="shared" si="175"/>
        <v>7942.456365800001</v>
      </c>
      <c r="AN115" s="296">
        <f t="shared" si="175"/>
        <v>8339.6152132</v>
      </c>
      <c r="AO115" s="296">
        <f t="shared" si="175"/>
        <v>8191.3914813</v>
      </c>
      <c r="AP115" s="296">
        <f>AP109+AP113</f>
        <v>8284.2402757</v>
      </c>
      <c r="AQ115" s="579">
        <f>AP115/AO115-1</f>
        <v>0.011334923329200386</v>
      </c>
      <c r="AR115" s="68"/>
      <c r="AS115" s="295">
        <f aca="true" t="shared" si="176" ref="AS115:AX115">AS109+AS113</f>
        <v>0</v>
      </c>
      <c r="AT115" s="295">
        <f t="shared" si="176"/>
        <v>5265.106126000001</v>
      </c>
      <c r="AU115" s="295">
        <f t="shared" si="176"/>
        <v>5434.900739500001</v>
      </c>
      <c r="AV115" s="295">
        <f t="shared" si="176"/>
        <v>5632.344321899996</v>
      </c>
      <c r="AW115" s="295">
        <f t="shared" si="176"/>
        <v>6351.663380999999</v>
      </c>
      <c r="AX115" s="295">
        <f t="shared" si="176"/>
        <v>7279.3504636</v>
      </c>
      <c r="AY115" s="295">
        <f>AY109+AY113</f>
        <v>7312.0969663000005</v>
      </c>
      <c r="AZ115" s="295">
        <f>AZ109+AZ113</f>
        <v>7568.89805584</v>
      </c>
      <c r="BA115" s="295">
        <f>BA109+BA113</f>
        <v>7806.512052799997</v>
      </c>
      <c r="BB115" s="295">
        <f>BB109+BB113</f>
        <v>8441.334751199998</v>
      </c>
      <c r="BC115" s="295">
        <f>BC109+BC113</f>
        <v>8561.8875933</v>
      </c>
      <c r="BD115" s="295">
        <f>BD109+BD113</f>
        <v>8309.799519</v>
      </c>
      <c r="BE115" s="587">
        <f>BD115/BC115-1</f>
        <v>-0.02944304880821702</v>
      </c>
      <c r="BG115" s="445"/>
      <c r="BH115" s="445"/>
    </row>
    <row r="116" spans="1:60" s="625" customFormat="1" ht="15">
      <c r="A116" s="117" t="s">
        <v>316</v>
      </c>
      <c r="B116" s="117" t="s">
        <v>313</v>
      </c>
      <c r="C116" s="222">
        <f aca="true" t="shared" si="177" ref="C116:T116">MAX(0,C70-C69)</f>
        <v>0</v>
      </c>
      <c r="D116" s="222">
        <f t="shared" si="177"/>
        <v>0</v>
      </c>
      <c r="E116" s="222">
        <f t="shared" si="177"/>
        <v>0</v>
      </c>
      <c r="F116" s="222">
        <f t="shared" si="177"/>
        <v>0</v>
      </c>
      <c r="G116" s="222">
        <f t="shared" si="177"/>
        <v>0</v>
      </c>
      <c r="H116" s="222">
        <f t="shared" si="177"/>
        <v>0</v>
      </c>
      <c r="I116" s="222">
        <f t="shared" si="177"/>
        <v>0</v>
      </c>
      <c r="J116" s="222">
        <f t="shared" si="177"/>
        <v>0</v>
      </c>
      <c r="K116" s="222">
        <f t="shared" si="177"/>
        <v>0</v>
      </c>
      <c r="L116" s="222">
        <f t="shared" si="177"/>
        <v>0</v>
      </c>
      <c r="M116" s="222">
        <f t="shared" si="177"/>
        <v>0</v>
      </c>
      <c r="N116" s="222">
        <f t="shared" si="177"/>
        <v>0</v>
      </c>
      <c r="O116" s="222">
        <f t="shared" si="177"/>
        <v>0</v>
      </c>
      <c r="P116" s="526">
        <f t="shared" si="177"/>
        <v>0</v>
      </c>
      <c r="Q116" s="526">
        <f t="shared" si="177"/>
        <v>0</v>
      </c>
      <c r="R116" s="526">
        <f t="shared" si="177"/>
        <v>0</v>
      </c>
      <c r="S116" s="526">
        <f t="shared" si="177"/>
        <v>0</v>
      </c>
      <c r="T116" s="526">
        <f t="shared" si="177"/>
        <v>0</v>
      </c>
      <c r="U116" s="526">
        <f>MAX(0,U70-U69)</f>
        <v>2.1466993300000468</v>
      </c>
      <c r="V116" s="428"/>
      <c r="W116" s="622"/>
      <c r="X116" s="623"/>
      <c r="Y116" s="623"/>
      <c r="Z116" s="623"/>
      <c r="AA116" s="623"/>
      <c r="AB116" s="623"/>
      <c r="AC116" s="623"/>
      <c r="AD116" s="623"/>
      <c r="AE116" s="623"/>
      <c r="AF116" s="623"/>
      <c r="AG116" s="623"/>
      <c r="AH116" s="623"/>
      <c r="AI116" s="623"/>
      <c r="AJ116" s="623"/>
      <c r="AK116" s="623"/>
      <c r="AL116" s="623"/>
      <c r="AM116" s="623"/>
      <c r="AN116" s="623"/>
      <c r="AO116" s="623"/>
      <c r="AP116" s="623"/>
      <c r="AQ116" s="624"/>
      <c r="AS116" s="626"/>
      <c r="AT116" s="626"/>
      <c r="AU116" s="626"/>
      <c r="AV116" s="626"/>
      <c r="AW116" s="626"/>
      <c r="AX116" s="626"/>
      <c r="AY116" s="626"/>
      <c r="AZ116" s="626"/>
      <c r="BA116" s="626"/>
      <c r="BB116" s="626"/>
      <c r="BC116" s="626"/>
      <c r="BD116" s="626"/>
      <c r="BE116" s="627"/>
      <c r="BG116" s="628"/>
      <c r="BH116" s="628"/>
    </row>
    <row r="117" spans="1:60" ht="30.75" customHeight="1">
      <c r="A117" s="298" t="s">
        <v>315</v>
      </c>
      <c r="B117" s="298" t="s">
        <v>314</v>
      </c>
      <c r="C117" s="296">
        <f aca="true" t="shared" si="178" ref="C117:T117">C115+C116</f>
        <v>4358.325</v>
      </c>
      <c r="D117" s="296">
        <f t="shared" si="178"/>
        <v>4398.9961</v>
      </c>
      <c r="E117" s="296">
        <f t="shared" si="178"/>
        <v>4616.77195108</v>
      </c>
      <c r="F117" s="296">
        <f t="shared" si="178"/>
        <v>4188.68243893</v>
      </c>
      <c r="G117" s="296">
        <f t="shared" si="178"/>
        <v>4640.4404269999995</v>
      </c>
      <c r="H117" s="296">
        <f t="shared" si="178"/>
        <v>4674.6245131999995</v>
      </c>
      <c r="I117" s="296">
        <f t="shared" si="178"/>
        <v>4927.1074555</v>
      </c>
      <c r="J117" s="296">
        <f t="shared" si="178"/>
        <v>4891.735108599999</v>
      </c>
      <c r="K117" s="296">
        <f t="shared" si="178"/>
        <v>5266.927482100001</v>
      </c>
      <c r="L117" s="296">
        <f t="shared" si="178"/>
        <v>5396.798000000002</v>
      </c>
      <c r="M117" s="296">
        <f t="shared" si="178"/>
        <v>5717.195863299996</v>
      </c>
      <c r="N117" s="296">
        <f t="shared" si="178"/>
        <v>6488.8912735</v>
      </c>
      <c r="O117" s="296">
        <f t="shared" si="178"/>
        <v>7332.022324000001</v>
      </c>
      <c r="P117" s="296">
        <f t="shared" si="178"/>
        <v>7514.2782768</v>
      </c>
      <c r="Q117" s="296">
        <f t="shared" si="178"/>
        <v>7458.081564500002</v>
      </c>
      <c r="R117" s="296">
        <f t="shared" si="178"/>
        <v>7975.980842700001</v>
      </c>
      <c r="S117" s="296">
        <f t="shared" si="178"/>
        <v>8484.9940776</v>
      </c>
      <c r="T117" s="296">
        <f t="shared" si="178"/>
        <v>8341.674097703972</v>
      </c>
      <c r="U117" s="296">
        <f>U115+U116</f>
        <v>8382.002186895703</v>
      </c>
      <c r="V117" s="438">
        <f>U117/T117-1</f>
        <v>0.004834531860077318</v>
      </c>
      <c r="W117" s="288"/>
      <c r="X117" s="621"/>
      <c r="Y117" s="621"/>
      <c r="Z117" s="621"/>
      <c r="AA117" s="621"/>
      <c r="AB117" s="621"/>
      <c r="AC117" s="621"/>
      <c r="AD117" s="621"/>
      <c r="AE117" s="621"/>
      <c r="AF117" s="621"/>
      <c r="AG117" s="621"/>
      <c r="AH117" s="621"/>
      <c r="AI117" s="621"/>
      <c r="AJ117" s="621"/>
      <c r="AK117" s="621"/>
      <c r="AL117" s="621"/>
      <c r="AM117" s="621"/>
      <c r="AN117" s="69"/>
      <c r="AO117" s="69"/>
      <c r="AP117" s="69"/>
      <c r="AQ117" s="230"/>
      <c r="BC117" s="445"/>
      <c r="BD117" s="445"/>
      <c r="BG117" s="445"/>
      <c r="BH117" s="445"/>
    </row>
    <row r="118" spans="1:56" ht="15">
      <c r="A118" s="277" t="s">
        <v>195</v>
      </c>
      <c r="B118" s="133"/>
      <c r="C118" s="69"/>
      <c r="D118" s="69"/>
      <c r="E118" s="69"/>
      <c r="F118" s="69"/>
      <c r="G118" s="228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444"/>
      <c r="W118" s="69"/>
      <c r="X118" s="228"/>
      <c r="Y118" s="228"/>
      <c r="Z118" s="228"/>
      <c r="AA118" s="228"/>
      <c r="AB118" s="427"/>
      <c r="AC118" s="228"/>
      <c r="AD118" s="228"/>
      <c r="AE118" s="427"/>
      <c r="AF118" s="228"/>
      <c r="AG118" s="228"/>
      <c r="AH118" s="228"/>
      <c r="AI118" s="69"/>
      <c r="AJ118" s="69"/>
      <c r="AK118" s="69"/>
      <c r="AL118" s="69"/>
      <c r="AM118" s="69"/>
      <c r="AN118" s="69"/>
      <c r="AO118" s="69"/>
      <c r="AP118" s="69"/>
      <c r="AQ118" s="230"/>
      <c r="BC118" s="445"/>
      <c r="BD118" s="445"/>
    </row>
    <row r="119" spans="1:56" ht="24">
      <c r="A119" s="277" t="s">
        <v>318</v>
      </c>
      <c r="B119" s="278" t="s">
        <v>317</v>
      </c>
      <c r="C119" s="69"/>
      <c r="D119" s="69"/>
      <c r="E119" s="69"/>
      <c r="F119" s="69"/>
      <c r="G119" s="228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444"/>
      <c r="W119" s="69"/>
      <c r="X119" s="228"/>
      <c r="Y119" s="228"/>
      <c r="Z119" s="228"/>
      <c r="AA119" s="228"/>
      <c r="AB119" s="427"/>
      <c r="AC119" s="228"/>
      <c r="AD119" s="228"/>
      <c r="AE119" s="427"/>
      <c r="AF119" s="228"/>
      <c r="AG119" s="228"/>
      <c r="AH119" s="228"/>
      <c r="AI119" s="69"/>
      <c r="AJ119" s="69"/>
      <c r="AK119" s="69"/>
      <c r="AL119" s="69"/>
      <c r="AM119" s="69"/>
      <c r="AN119" s="69"/>
      <c r="AO119" s="69"/>
      <c r="AP119" s="69"/>
      <c r="AQ119" s="230"/>
      <c r="BC119" s="445"/>
      <c r="BD119" s="445"/>
    </row>
    <row r="120" spans="1:43" ht="15">
      <c r="A120" s="498" t="s">
        <v>311</v>
      </c>
      <c r="B120" s="499" t="s">
        <v>312</v>
      </c>
      <c r="C120" s="69"/>
      <c r="D120" s="69"/>
      <c r="E120" s="69"/>
      <c r="F120" s="69"/>
      <c r="G120" s="425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444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230"/>
    </row>
    <row r="121" spans="1:42" ht="15.75">
      <c r="A121" s="174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237"/>
      <c r="O121" s="237"/>
      <c r="P121" s="237"/>
      <c r="Q121" s="237"/>
      <c r="R121" s="237"/>
      <c r="S121" s="237"/>
      <c r="T121" s="237"/>
      <c r="U121" s="237"/>
      <c r="V121" s="210"/>
      <c r="W121" s="210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</row>
    <row r="122" spans="1:43" ht="15">
      <c r="A122" s="141" t="s">
        <v>160</v>
      </c>
      <c r="B122" s="141" t="s">
        <v>159</v>
      </c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2"/>
      <c r="W122" s="69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3"/>
    </row>
    <row r="123" spans="1:43" ht="15.75">
      <c r="A123" s="70" t="s">
        <v>184</v>
      </c>
      <c r="B123" s="70" t="s">
        <v>186</v>
      </c>
      <c r="C123" s="144"/>
      <c r="D123" s="144"/>
      <c r="E123" s="144"/>
      <c r="F123" s="144"/>
      <c r="G123" s="144"/>
      <c r="H123" s="144"/>
      <c r="I123" s="144"/>
      <c r="J123" s="144">
        <f aca="true" t="shared" si="179" ref="J123:N124">J221</f>
        <v>1238.517</v>
      </c>
      <c r="K123" s="144">
        <f t="shared" si="179"/>
        <v>3162.488</v>
      </c>
      <c r="L123" s="144">
        <f t="shared" si="179"/>
        <v>3133.732</v>
      </c>
      <c r="M123" s="394">
        <f t="shared" si="179"/>
        <v>4805.82</v>
      </c>
      <c r="N123" s="394">
        <f t="shared" si="179"/>
        <v>4358.976</v>
      </c>
      <c r="O123" s="394">
        <f aca="true" t="shared" si="180" ref="O123:R124">O221</f>
        <v>4506</v>
      </c>
      <c r="P123" s="394">
        <f t="shared" si="180"/>
        <v>4481.477</v>
      </c>
      <c r="Q123" s="394">
        <f t="shared" si="180"/>
        <v>4700.658</v>
      </c>
      <c r="R123" s="394">
        <f t="shared" si="180"/>
        <v>5617.374</v>
      </c>
      <c r="S123" s="394">
        <f aca="true" t="shared" si="181" ref="S123:U124">S221</f>
        <v>6597.999</v>
      </c>
      <c r="T123" s="394">
        <f t="shared" si="181"/>
        <v>5095.712</v>
      </c>
      <c r="U123" s="394">
        <f t="shared" si="181"/>
        <v>5453.964</v>
      </c>
      <c r="V123" s="443">
        <f>U123/T123-1</f>
        <v>0.0703046012019517</v>
      </c>
      <c r="W123" s="226"/>
      <c r="X123" s="213"/>
      <c r="Y123" s="213"/>
      <c r="Z123" s="213"/>
      <c r="AA123" s="213"/>
      <c r="AB123" s="213"/>
      <c r="AC123" s="213"/>
      <c r="AD123" s="213"/>
      <c r="AE123" s="213">
        <f aca="true" t="shared" si="182" ref="AE123:AM123">AE221</f>
        <v>563.702</v>
      </c>
      <c r="AF123" s="213">
        <f t="shared" si="182"/>
        <v>375.288</v>
      </c>
      <c r="AG123" s="213">
        <f t="shared" si="182"/>
        <v>0</v>
      </c>
      <c r="AH123" s="213">
        <f t="shared" si="182"/>
        <v>56.511</v>
      </c>
      <c r="AI123" s="213">
        <f t="shared" si="182"/>
        <v>0</v>
      </c>
      <c r="AJ123" s="213">
        <f t="shared" si="182"/>
        <v>0</v>
      </c>
      <c r="AK123" s="213">
        <f t="shared" si="182"/>
        <v>0</v>
      </c>
      <c r="AL123" s="213">
        <f t="shared" si="182"/>
        <v>0</v>
      </c>
      <c r="AM123" s="213">
        <f t="shared" si="182"/>
        <v>0</v>
      </c>
      <c r="AN123" s="213">
        <f>AN221</f>
        <v>0</v>
      </c>
      <c r="AO123" s="213">
        <f>AO221</f>
        <v>0</v>
      </c>
      <c r="AP123" s="213">
        <f>AP221</f>
        <v>0</v>
      </c>
      <c r="AQ123" s="213">
        <f>AQ221</f>
        <v>0</v>
      </c>
    </row>
    <row r="124" spans="1:43" ht="15">
      <c r="A124" s="100" t="s">
        <v>99</v>
      </c>
      <c r="B124" s="100" t="s">
        <v>93</v>
      </c>
      <c r="C124" s="217"/>
      <c r="D124" s="217"/>
      <c r="E124" s="217"/>
      <c r="F124" s="217"/>
      <c r="G124" s="217"/>
      <c r="H124" s="217"/>
      <c r="I124" s="217"/>
      <c r="J124" s="217">
        <f t="shared" si="179"/>
        <v>131.936</v>
      </c>
      <c r="K124" s="217">
        <f t="shared" si="179"/>
        <v>2334.822</v>
      </c>
      <c r="L124" s="217">
        <f t="shared" si="179"/>
        <v>3200.655</v>
      </c>
      <c r="M124" s="395">
        <f t="shared" si="179"/>
        <v>4522.974</v>
      </c>
      <c r="N124" s="395">
        <f t="shared" si="179"/>
        <v>4449.275</v>
      </c>
      <c r="O124" s="395">
        <f t="shared" si="180"/>
        <v>4620.309</v>
      </c>
      <c r="P124" s="395">
        <f t="shared" si="180"/>
        <v>4909.405</v>
      </c>
      <c r="Q124" s="395">
        <f t="shared" si="180"/>
        <v>5028.197</v>
      </c>
      <c r="R124" s="395">
        <f t="shared" si="180"/>
        <v>5225.184</v>
      </c>
      <c r="S124" s="395">
        <f t="shared" si="181"/>
        <v>5552.464</v>
      </c>
      <c r="T124" s="395">
        <f t="shared" si="181"/>
        <v>5702.88</v>
      </c>
      <c r="U124" s="395">
        <f t="shared" si="181"/>
        <v>5471.627</v>
      </c>
      <c r="V124" s="428">
        <f>U124/T124-1</f>
        <v>-0.040550213225598264</v>
      </c>
      <c r="W124" s="225"/>
      <c r="X124" s="220"/>
      <c r="Y124" s="220"/>
      <c r="Z124" s="220"/>
      <c r="AA124" s="220"/>
      <c r="AB124" s="211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14"/>
    </row>
    <row r="125" spans="1:43" ht="15">
      <c r="A125" s="142" t="s">
        <v>163</v>
      </c>
      <c r="B125" s="142" t="s">
        <v>162</v>
      </c>
      <c r="C125" s="222"/>
      <c r="D125" s="222"/>
      <c r="E125" s="222"/>
      <c r="F125" s="222"/>
      <c r="G125" s="222"/>
      <c r="H125" s="222"/>
      <c r="I125" s="222"/>
      <c r="J125" s="222">
        <f aca="true" t="shared" si="183" ref="J125:S125">AE123</f>
        <v>563.702</v>
      </c>
      <c r="K125" s="222">
        <f t="shared" si="183"/>
        <v>375.288</v>
      </c>
      <c r="L125" s="222">
        <f t="shared" si="183"/>
        <v>0</v>
      </c>
      <c r="M125" s="222">
        <f t="shared" si="183"/>
        <v>56.511</v>
      </c>
      <c r="N125" s="222">
        <f t="shared" si="183"/>
        <v>0</v>
      </c>
      <c r="O125" s="222">
        <f t="shared" si="183"/>
        <v>0</v>
      </c>
      <c r="P125" s="222">
        <f t="shared" si="183"/>
        <v>0</v>
      </c>
      <c r="Q125" s="222">
        <f t="shared" si="183"/>
        <v>0</v>
      </c>
      <c r="R125" s="222">
        <f t="shared" si="183"/>
        <v>0</v>
      </c>
      <c r="S125" s="222">
        <f t="shared" si="183"/>
        <v>0</v>
      </c>
      <c r="T125" s="222">
        <f>AO123</f>
        <v>0</v>
      </c>
      <c r="U125" s="222">
        <f>AP123</f>
        <v>0</v>
      </c>
      <c r="V125" s="212"/>
      <c r="W125" s="223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34"/>
    </row>
    <row r="126" spans="1:42" ht="15.75">
      <c r="A126" s="174"/>
      <c r="C126" s="237"/>
      <c r="D126" s="237"/>
      <c r="E126" s="237"/>
      <c r="F126" s="237"/>
      <c r="G126" s="426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10"/>
      <c r="W126" s="210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</row>
    <row r="127" spans="1:42" ht="15.75">
      <c r="A127" s="174"/>
      <c r="C127" s="237"/>
      <c r="D127" s="237"/>
      <c r="E127" s="237"/>
      <c r="F127" s="237"/>
      <c r="G127" s="426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10"/>
      <c r="W127" s="210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</row>
    <row r="128" spans="1:43" ht="15.75">
      <c r="A128" s="654" t="s">
        <v>95</v>
      </c>
      <c r="B128" s="654" t="s">
        <v>252</v>
      </c>
      <c r="C128" s="655" t="s">
        <v>52</v>
      </c>
      <c r="D128" s="655"/>
      <c r="E128" s="655"/>
      <c r="F128" s="655"/>
      <c r="G128" s="655"/>
      <c r="H128" s="655"/>
      <c r="I128" s="655"/>
      <c r="J128" s="655"/>
      <c r="K128" s="655"/>
      <c r="L128" s="655"/>
      <c r="M128" s="655"/>
      <c r="N128" s="655"/>
      <c r="O128" s="655"/>
      <c r="P128" s="655"/>
      <c r="Q128" s="655"/>
      <c r="R128" s="655"/>
      <c r="S128" s="655"/>
      <c r="T128" s="655"/>
      <c r="U128" s="655"/>
      <c r="V128" s="655"/>
      <c r="W128" s="210"/>
      <c r="X128" s="656" t="s">
        <v>175</v>
      </c>
      <c r="Y128" s="656"/>
      <c r="Z128" s="656"/>
      <c r="AA128" s="656"/>
      <c r="AB128" s="656"/>
      <c r="AC128" s="656"/>
      <c r="AD128" s="656"/>
      <c r="AE128" s="656"/>
      <c r="AF128" s="656"/>
      <c r="AG128" s="656"/>
      <c r="AH128" s="656"/>
      <c r="AI128" s="656"/>
      <c r="AJ128" s="656"/>
      <c r="AK128" s="656"/>
      <c r="AL128" s="656"/>
      <c r="AM128" s="656"/>
      <c r="AN128" s="656"/>
      <c r="AO128" s="656"/>
      <c r="AP128" s="656"/>
      <c r="AQ128" s="656"/>
    </row>
    <row r="129" spans="1:43" ht="15.75">
      <c r="A129" s="654"/>
      <c r="B129" s="654"/>
      <c r="C129" s="655" t="s">
        <v>54</v>
      </c>
      <c r="D129" s="655"/>
      <c r="E129" s="655"/>
      <c r="F129" s="655"/>
      <c r="G129" s="655"/>
      <c r="H129" s="655"/>
      <c r="I129" s="655"/>
      <c r="J129" s="655"/>
      <c r="K129" s="655"/>
      <c r="L129" s="655"/>
      <c r="M129" s="655"/>
      <c r="N129" s="655"/>
      <c r="O129" s="655"/>
      <c r="P129" s="655"/>
      <c r="Q129" s="655"/>
      <c r="R129" s="655"/>
      <c r="S129" s="655"/>
      <c r="T129" s="655"/>
      <c r="U129" s="655"/>
      <c r="V129" s="655"/>
      <c r="W129" s="210"/>
      <c r="X129" s="656" t="s">
        <v>176</v>
      </c>
      <c r="Y129" s="656"/>
      <c r="Z129" s="656"/>
      <c r="AA129" s="656"/>
      <c r="AB129" s="656"/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  <c r="AQ129" s="656"/>
    </row>
    <row r="130" spans="1:43" s="68" customFormat="1" ht="15.75">
      <c r="A130" s="96" t="s">
        <v>55</v>
      </c>
      <c r="B130" s="96" t="s">
        <v>53</v>
      </c>
      <c r="C130" s="282">
        <v>2005</v>
      </c>
      <c r="D130" s="282">
        <v>2006</v>
      </c>
      <c r="E130" s="282">
        <v>2007</v>
      </c>
      <c r="F130" s="282">
        <v>2008</v>
      </c>
      <c r="G130" s="282">
        <v>2009</v>
      </c>
      <c r="H130" s="282">
        <v>2010</v>
      </c>
      <c r="I130" s="282">
        <v>2011</v>
      </c>
      <c r="J130" s="282">
        <v>2012</v>
      </c>
      <c r="K130" s="282">
        <v>2013</v>
      </c>
      <c r="L130" s="282">
        <v>2014</v>
      </c>
      <c r="M130" s="282">
        <v>2015</v>
      </c>
      <c r="N130" s="282">
        <v>2016</v>
      </c>
      <c r="O130" s="282">
        <v>2017</v>
      </c>
      <c r="P130" s="282">
        <v>2018</v>
      </c>
      <c r="Q130" s="282">
        <v>2019</v>
      </c>
      <c r="R130" s="282">
        <v>2020</v>
      </c>
      <c r="S130" s="282">
        <v>2021</v>
      </c>
      <c r="T130" s="282">
        <v>2022</v>
      </c>
      <c r="U130" s="282">
        <v>2023</v>
      </c>
      <c r="V130" s="282" t="s">
        <v>102</v>
      </c>
      <c r="W130" s="300"/>
      <c r="X130" s="283">
        <v>2005</v>
      </c>
      <c r="Y130" s="283">
        <v>2006</v>
      </c>
      <c r="Z130" s="283">
        <v>2007</v>
      </c>
      <c r="AA130" s="283">
        <v>2008</v>
      </c>
      <c r="AB130" s="283">
        <v>2009</v>
      </c>
      <c r="AC130" s="283">
        <v>2010</v>
      </c>
      <c r="AD130" s="283">
        <v>2011</v>
      </c>
      <c r="AE130" s="283">
        <v>2012</v>
      </c>
      <c r="AF130" s="283">
        <v>2013</v>
      </c>
      <c r="AG130" s="380">
        <v>2014</v>
      </c>
      <c r="AH130" s="393">
        <v>2015</v>
      </c>
      <c r="AI130" s="424">
        <v>2016</v>
      </c>
      <c r="AJ130" s="495">
        <v>2017</v>
      </c>
      <c r="AK130" s="514">
        <v>2018</v>
      </c>
      <c r="AL130" s="554">
        <v>2019</v>
      </c>
      <c r="AM130" s="563">
        <v>2020</v>
      </c>
      <c r="AN130" s="608">
        <v>2021</v>
      </c>
      <c r="AO130" s="617">
        <v>2022</v>
      </c>
      <c r="AP130" s="620">
        <v>2023</v>
      </c>
      <c r="AQ130" s="283" t="s">
        <v>102</v>
      </c>
    </row>
    <row r="131" spans="1:43" ht="15.75">
      <c r="A131" s="96"/>
      <c r="B131" s="143"/>
      <c r="C131" s="143"/>
      <c r="D131" s="143"/>
      <c r="E131" s="222"/>
      <c r="F131" s="222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 t="s">
        <v>101</v>
      </c>
      <c r="W131" s="69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386" t="s">
        <v>101</v>
      </c>
    </row>
    <row r="132" spans="1:43" ht="15.75">
      <c r="A132" s="98" t="s">
        <v>58</v>
      </c>
      <c r="B132" s="98" t="s">
        <v>2</v>
      </c>
      <c r="C132" s="144">
        <v>1063.465</v>
      </c>
      <c r="D132" s="144">
        <v>1042.488</v>
      </c>
      <c r="E132" s="144">
        <v>1113.954</v>
      </c>
      <c r="F132" s="144">
        <v>1034.164</v>
      </c>
      <c r="G132" s="144">
        <v>1060.075</v>
      </c>
      <c r="H132" s="144">
        <v>1108.3</v>
      </c>
      <c r="I132" s="75">
        <v>1102.9</v>
      </c>
      <c r="J132" s="75">
        <v>1169.927</v>
      </c>
      <c r="K132" s="75">
        <v>1220</v>
      </c>
      <c r="L132" s="75">
        <v>1221.2</v>
      </c>
      <c r="M132" s="75">
        <v>1079.756</v>
      </c>
      <c r="N132" s="75">
        <v>1614.1</v>
      </c>
      <c r="O132" s="75">
        <v>1991.699</v>
      </c>
      <c r="P132" s="75">
        <v>2015.609</v>
      </c>
      <c r="Q132" s="75">
        <v>2117.837</v>
      </c>
      <c r="R132" s="75">
        <v>2003.358</v>
      </c>
      <c r="S132" s="75">
        <v>2172.438</v>
      </c>
      <c r="T132" s="75">
        <v>2146.25</v>
      </c>
      <c r="U132" s="75">
        <v>2141.4170000000004</v>
      </c>
      <c r="V132" s="443">
        <f>U132/T132-1</f>
        <v>-0.002251834595224045</v>
      </c>
      <c r="W132" s="288"/>
      <c r="X132" s="213">
        <v>298.333</v>
      </c>
      <c r="Y132" s="213">
        <v>243.87001</v>
      </c>
      <c r="Z132" s="213">
        <f>'отгр.  2008'!J21</f>
        <v>278.842643</v>
      </c>
      <c r="AA132" s="213">
        <f>'отгр.  2008'!J7</f>
        <v>218.70413</v>
      </c>
      <c r="AB132" s="238">
        <v>216.9613</v>
      </c>
      <c r="AC132" s="238">
        <v>226.3</v>
      </c>
      <c r="AD132" s="238">
        <v>159.7</v>
      </c>
      <c r="AE132" s="238">
        <v>132.55012</v>
      </c>
      <c r="AF132" s="238">
        <v>95.4</v>
      </c>
      <c r="AG132" s="238">
        <v>80.9</v>
      </c>
      <c r="AH132" s="238">
        <v>0.0235</v>
      </c>
      <c r="AI132" s="238">
        <v>315.34188</v>
      </c>
      <c r="AJ132" s="238">
        <v>565.79288</v>
      </c>
      <c r="AK132" s="238">
        <v>464.01345000000003</v>
      </c>
      <c r="AL132" s="238">
        <v>296.49683</v>
      </c>
      <c r="AM132" s="238">
        <v>105.99144</v>
      </c>
      <c r="AN132" s="238">
        <v>56.084320000000005</v>
      </c>
      <c r="AO132" s="238">
        <v>20.997</v>
      </c>
      <c r="AP132" s="238">
        <v>0</v>
      </c>
      <c r="AQ132" s="573">
        <f>AP132/AO132-1</f>
        <v>-1</v>
      </c>
    </row>
    <row r="133" spans="1:43" s="129" customFormat="1" ht="15.75">
      <c r="A133" s="100" t="s">
        <v>99</v>
      </c>
      <c r="B133" s="100" t="s">
        <v>93</v>
      </c>
      <c r="C133" s="222">
        <v>765</v>
      </c>
      <c r="D133" s="222">
        <v>799</v>
      </c>
      <c r="E133" s="217">
        <f>838.88208</f>
        <v>838.88208</v>
      </c>
      <c r="F133" s="217">
        <f>809.92688</f>
        <v>809.92688</v>
      </c>
      <c r="G133" s="217">
        <v>846.6219</v>
      </c>
      <c r="H133" s="217">
        <v>883.9</v>
      </c>
      <c r="I133" s="181">
        <v>941.5</v>
      </c>
      <c r="J133" s="181">
        <v>1038.83838</v>
      </c>
      <c r="K133" s="181">
        <v>1124.8</v>
      </c>
      <c r="L133" s="181">
        <v>1140.7</v>
      </c>
      <c r="M133" s="181">
        <v>1079.866263</v>
      </c>
      <c r="N133" s="181">
        <v>1296.27978</v>
      </c>
      <c r="O133" s="181">
        <v>1420.39249</v>
      </c>
      <c r="P133" s="181">
        <v>1556.3857000000003</v>
      </c>
      <c r="Q133" s="181">
        <v>1821.9198600000002</v>
      </c>
      <c r="R133" s="181">
        <v>1890.6072</v>
      </c>
      <c r="S133" s="181">
        <v>2110.9452039999996</v>
      </c>
      <c r="T133" s="181">
        <v>2136.27624</v>
      </c>
      <c r="U133" s="181">
        <v>2145.15530033</v>
      </c>
      <c r="V133" s="428"/>
      <c r="W133" s="289"/>
      <c r="X133" s="211"/>
      <c r="Y133" s="211"/>
      <c r="Z133" s="218"/>
      <c r="AA133" s="218"/>
      <c r="AB133" s="240"/>
      <c r="AC133" s="240"/>
      <c r="AD133" s="240"/>
      <c r="AE133" s="240"/>
      <c r="AF133" s="240"/>
      <c r="AG133" s="240"/>
      <c r="AH133" s="240"/>
      <c r="AI133" s="240">
        <v>12.43598</v>
      </c>
      <c r="AJ133" s="240">
        <v>21.83241</v>
      </c>
      <c r="AK133" s="240">
        <v>17.82201</v>
      </c>
      <c r="AL133" s="240">
        <v>7.3609</v>
      </c>
      <c r="AM133" s="240"/>
      <c r="AN133" s="240"/>
      <c r="AO133" s="240">
        <v>8.29142</v>
      </c>
      <c r="AP133" s="240"/>
      <c r="AQ133" s="574"/>
    </row>
    <row r="134" spans="1:43" ht="15.75">
      <c r="A134" s="70" t="s">
        <v>121</v>
      </c>
      <c r="B134" s="70" t="s">
        <v>57</v>
      </c>
      <c r="C134" s="144">
        <f>C136+C138+C144</f>
        <v>739.0699999999999</v>
      </c>
      <c r="D134" s="144">
        <f>D136+D138+D144</f>
        <v>959.98</v>
      </c>
      <c r="E134" s="144">
        <f>E136+E138+E144</f>
        <v>977.476322</v>
      </c>
      <c r="F134" s="144">
        <f>F136+F138+F144</f>
        <v>1103.670163</v>
      </c>
      <c r="G134" s="144">
        <v>1276.1041950000001</v>
      </c>
      <c r="H134" s="144">
        <f aca="true" t="shared" si="184" ref="H134:P134">H136+H138+H144</f>
        <v>1415.5</v>
      </c>
      <c r="I134" s="241">
        <f t="shared" si="184"/>
        <v>1493.9</v>
      </c>
      <c r="J134" s="241">
        <f t="shared" si="184"/>
        <v>1796.1443749999999</v>
      </c>
      <c r="K134" s="241">
        <f t="shared" si="184"/>
        <v>2013.4</v>
      </c>
      <c r="L134" s="241">
        <f t="shared" si="184"/>
        <v>2142.6000000000004</v>
      </c>
      <c r="M134" s="241">
        <f t="shared" si="184"/>
        <v>1897.954526</v>
      </c>
      <c r="N134" s="241">
        <f t="shared" si="184"/>
        <v>2575.48936</v>
      </c>
      <c r="O134" s="241">
        <f>O136+O138+O144</f>
        <v>2593.38623</v>
      </c>
      <c r="P134" s="241">
        <f t="shared" si="184"/>
        <v>3079.36872</v>
      </c>
      <c r="Q134" s="241">
        <f>Q136+Q138+Q144</f>
        <v>3917.6865624600005</v>
      </c>
      <c r="R134" s="241">
        <f>R136+R138+R144</f>
        <v>3404.787535</v>
      </c>
      <c r="S134" s="241">
        <f>S136+S138+S144</f>
        <v>3799.2867499999998</v>
      </c>
      <c r="T134" s="241">
        <f>T136+T138+T144+T145</f>
        <v>4195.480792</v>
      </c>
      <c r="U134" s="241">
        <f>U136+U138+U144+U145</f>
        <v>3891.9859</v>
      </c>
      <c r="V134" s="443">
        <f>U134/T134-1</f>
        <v>-0.07233852496207549</v>
      </c>
      <c r="W134" s="288"/>
      <c r="X134" s="213">
        <f>X136+X138+X144</f>
        <v>687.60344</v>
      </c>
      <c r="Y134" s="213">
        <f>Y136+Y138+Y144</f>
        <v>884.9894999999999</v>
      </c>
      <c r="Z134" s="213">
        <f>Z136+Z138+Z144</f>
        <v>863.5640000000001</v>
      </c>
      <c r="AA134" s="213">
        <f>AA136+AA138+AA144</f>
        <v>845.247693</v>
      </c>
      <c r="AB134" s="238">
        <v>1077.6699079999999</v>
      </c>
      <c r="AC134" s="213">
        <f aca="true" t="shared" si="185" ref="AC134:AM134">AC136+AC138+AC144</f>
        <v>1151.1</v>
      </c>
      <c r="AD134" s="238">
        <f t="shared" si="185"/>
        <v>1187.4</v>
      </c>
      <c r="AE134" s="238">
        <f t="shared" si="185"/>
        <v>1418.00963</v>
      </c>
      <c r="AF134" s="238">
        <f t="shared" si="185"/>
        <v>1598.1999999999998</v>
      </c>
      <c r="AG134" s="238">
        <f t="shared" si="185"/>
        <v>1666.5</v>
      </c>
      <c r="AH134" s="238">
        <f t="shared" si="185"/>
        <v>1448.3470499999999</v>
      </c>
      <c r="AI134" s="238">
        <f t="shared" si="185"/>
        <v>1978.30064</v>
      </c>
      <c r="AJ134" s="238">
        <f t="shared" si="185"/>
        <v>2069.721238</v>
      </c>
      <c r="AK134" s="238">
        <f t="shared" si="185"/>
        <v>2255.45709</v>
      </c>
      <c r="AL134" s="238">
        <f t="shared" si="185"/>
        <v>2794.51437</v>
      </c>
      <c r="AM134" s="238">
        <f t="shared" si="185"/>
        <v>2693.517081</v>
      </c>
      <c r="AN134" s="238">
        <f>AN136+AN138+AN144</f>
        <v>2820.747998</v>
      </c>
      <c r="AO134" s="238">
        <f>AO136+AO138+AO144+AO145</f>
        <v>3369.361809</v>
      </c>
      <c r="AP134" s="238">
        <f>AP136+AP138+AP144+AP145</f>
        <v>3121.368787</v>
      </c>
      <c r="AQ134" s="573">
        <f>AP134/AO134-1</f>
        <v>-0.07360237221707056</v>
      </c>
    </row>
    <row r="135" spans="1:43" s="129" customFormat="1" ht="15.75">
      <c r="A135" s="100" t="s">
        <v>99</v>
      </c>
      <c r="B135" s="100" t="s">
        <v>93</v>
      </c>
      <c r="C135" s="217">
        <f>C137+C139</f>
        <v>0</v>
      </c>
      <c r="D135" s="217">
        <f>D137+D139</f>
        <v>0</v>
      </c>
      <c r="E135" s="217">
        <f>E137+E139</f>
        <v>128.90917</v>
      </c>
      <c r="F135" s="217">
        <f>F137+F139</f>
        <v>261.3719</v>
      </c>
      <c r="G135" s="217">
        <v>208.9236</v>
      </c>
      <c r="H135" s="217">
        <v>267.1</v>
      </c>
      <c r="I135" s="181">
        <f>I137+I139</f>
        <v>302.79999999999995</v>
      </c>
      <c r="J135" s="181">
        <f>J137+J139</f>
        <v>373.95910000000003</v>
      </c>
      <c r="K135" s="181">
        <v>408.5</v>
      </c>
      <c r="L135" s="181">
        <v>484.1</v>
      </c>
      <c r="M135" s="181">
        <f aca="true" t="shared" si="186" ref="M135:R135">M137+M139</f>
        <v>449.142701</v>
      </c>
      <c r="N135" s="181">
        <f t="shared" si="186"/>
        <v>602.95826</v>
      </c>
      <c r="O135" s="181">
        <f t="shared" si="186"/>
        <v>519.5744500000001</v>
      </c>
      <c r="P135" s="181">
        <f t="shared" si="186"/>
        <v>813.3954699999999</v>
      </c>
      <c r="Q135" s="181">
        <f t="shared" si="186"/>
        <v>1121.451552</v>
      </c>
      <c r="R135" s="181">
        <f t="shared" si="186"/>
        <v>690.124975</v>
      </c>
      <c r="S135" s="181">
        <f>S137+S139</f>
        <v>921.0580849999999</v>
      </c>
      <c r="T135" s="181">
        <f>T137+T139</f>
        <v>830.810931</v>
      </c>
      <c r="U135" s="181">
        <f>U137+U139</f>
        <v>683.60114</v>
      </c>
      <c r="V135" s="428"/>
      <c r="W135" s="289"/>
      <c r="X135" s="211"/>
      <c r="Y135" s="211"/>
      <c r="Z135" s="218"/>
      <c r="AA135" s="218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574"/>
    </row>
    <row r="136" spans="1:51" ht="15">
      <c r="A136" s="116" t="s">
        <v>122</v>
      </c>
      <c r="B136" s="117" t="s">
        <v>60</v>
      </c>
      <c r="C136" s="222">
        <v>327.7</v>
      </c>
      <c r="D136" s="222">
        <v>546.35</v>
      </c>
      <c r="E136" s="222">
        <f>665.802-E164</f>
        <v>526.5983249999999</v>
      </c>
      <c r="F136" s="222">
        <f>602.448-F164</f>
        <v>390.676</v>
      </c>
      <c r="G136" s="222">
        <v>508.468095</v>
      </c>
      <c r="H136" s="222">
        <v>452.8</v>
      </c>
      <c r="I136" s="181">
        <f>463.2+I137</f>
        <v>486.09999999999997</v>
      </c>
      <c r="J136" s="181">
        <f>488.454495+J137</f>
        <v>536.020495</v>
      </c>
      <c r="K136" s="181">
        <v>550.7</v>
      </c>
      <c r="L136" s="181">
        <v>560.2</v>
      </c>
      <c r="M136" s="181">
        <v>453.27032599999995</v>
      </c>
      <c r="N136" s="181">
        <v>688.3</v>
      </c>
      <c r="O136" s="181">
        <v>761.11098</v>
      </c>
      <c r="P136" s="181">
        <v>642.4241199999999</v>
      </c>
      <c r="Q136" s="181">
        <v>935.78707</v>
      </c>
      <c r="R136" s="181">
        <v>1128.192965</v>
      </c>
      <c r="S136" s="181">
        <v>982.3562499999998</v>
      </c>
      <c r="T136" s="181">
        <v>1100.186362</v>
      </c>
      <c r="U136" s="181">
        <v>757.2909</v>
      </c>
      <c r="V136" s="428">
        <f>U136/T136-1</f>
        <v>-0.31167034408303274</v>
      </c>
      <c r="W136" s="69"/>
      <c r="X136" s="211">
        <v>333.26744</v>
      </c>
      <c r="Y136" s="211">
        <v>533.4675</v>
      </c>
      <c r="Z136" s="211">
        <f>'отгр.  2008'!C21</f>
        <v>511.7992</v>
      </c>
      <c r="AA136" s="211">
        <f>'отгр.  2008'!C7</f>
        <v>336.95703</v>
      </c>
      <c r="AB136" s="242">
        <v>507.96465</v>
      </c>
      <c r="AC136" s="242">
        <v>437.6</v>
      </c>
      <c r="AD136" s="242">
        <v>458.3</v>
      </c>
      <c r="AE136" s="242">
        <v>492.88679</v>
      </c>
      <c r="AF136" s="242">
        <v>502.9</v>
      </c>
      <c r="AG136" s="242">
        <v>492.7</v>
      </c>
      <c r="AH136" s="242">
        <v>399.6015500000002</v>
      </c>
      <c r="AI136" s="242">
        <v>568.16217</v>
      </c>
      <c r="AJ136" s="242">
        <v>668.97459</v>
      </c>
      <c r="AK136" s="242">
        <v>433.82397</v>
      </c>
      <c r="AL136" s="242">
        <v>531.1200399999999</v>
      </c>
      <c r="AM136" s="242">
        <v>902.5408</v>
      </c>
      <c r="AN136" s="242">
        <v>646.8166000000001</v>
      </c>
      <c r="AO136" s="242">
        <v>791.278234</v>
      </c>
      <c r="AP136" s="242">
        <v>533.3871429999999</v>
      </c>
      <c r="AQ136" s="575">
        <f>AP136/AO136-1</f>
        <v>-0.32591707937716385</v>
      </c>
      <c r="AY136" s="135"/>
    </row>
    <row r="137" spans="1:43" s="129" customFormat="1" ht="15">
      <c r="A137" s="100" t="s">
        <v>99</v>
      </c>
      <c r="B137" s="100" t="s">
        <v>93</v>
      </c>
      <c r="C137" s="222"/>
      <c r="D137" s="222"/>
      <c r="E137" s="217">
        <f>28.76617</f>
        <v>28.76617</v>
      </c>
      <c r="F137" s="217">
        <f>0.802+21.85+38.5689</f>
        <v>61.2209</v>
      </c>
      <c r="G137" s="217">
        <v>22.5015</v>
      </c>
      <c r="H137" s="217">
        <v>10.5</v>
      </c>
      <c r="I137" s="181">
        <v>22.9</v>
      </c>
      <c r="J137" s="181">
        <v>47.566</v>
      </c>
      <c r="K137" s="181">
        <v>44.1</v>
      </c>
      <c r="L137" s="181">
        <v>67.1</v>
      </c>
      <c r="M137" s="181">
        <v>54.537701</v>
      </c>
      <c r="N137" s="181">
        <v>121.33878</v>
      </c>
      <c r="O137" s="181">
        <v>90.849</v>
      </c>
      <c r="P137" s="181">
        <v>211.06486999999998</v>
      </c>
      <c r="Q137" s="181">
        <v>402.622748</v>
      </c>
      <c r="R137" s="181">
        <v>213.32797499999998</v>
      </c>
      <c r="S137" s="181">
        <v>338.738085</v>
      </c>
      <c r="T137" s="181">
        <v>305.906131</v>
      </c>
      <c r="U137" s="181">
        <v>210.75113999999996</v>
      </c>
      <c r="V137" s="428"/>
      <c r="W137" s="289"/>
      <c r="X137" s="211"/>
      <c r="Y137" s="211"/>
      <c r="Z137" s="220"/>
      <c r="AA137" s="220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574"/>
    </row>
    <row r="138" spans="1:43" ht="15">
      <c r="A138" s="117" t="s">
        <v>61</v>
      </c>
      <c r="B138" s="117" t="s">
        <v>62</v>
      </c>
      <c r="C138" s="222">
        <v>411.37</v>
      </c>
      <c r="D138" s="222">
        <v>413.63</v>
      </c>
      <c r="E138" s="222">
        <f>'пр-во '!B20</f>
        <v>449.778997</v>
      </c>
      <c r="F138" s="222">
        <f>448.872633</f>
        <v>448.872633</v>
      </c>
      <c r="G138" s="222">
        <v>450.015</v>
      </c>
      <c r="H138" s="222">
        <v>449.2</v>
      </c>
      <c r="I138" s="185">
        <f>458.8</f>
        <v>458.8</v>
      </c>
      <c r="J138" s="185">
        <v>571.42</v>
      </c>
      <c r="K138" s="185">
        <v>655.7</v>
      </c>
      <c r="L138" s="185">
        <v>645.6</v>
      </c>
      <c r="M138" s="185">
        <f>623.5-M165</f>
        <v>585.1</v>
      </c>
      <c r="N138" s="185">
        <v>762.46576</v>
      </c>
      <c r="O138" s="185">
        <v>882.49735</v>
      </c>
      <c r="P138" s="185">
        <v>1015.2796000000001</v>
      </c>
      <c r="Q138" s="185">
        <v>1252.94609246</v>
      </c>
      <c r="R138" s="185">
        <v>1180.1885300000001</v>
      </c>
      <c r="S138" s="185">
        <v>1462.5937</v>
      </c>
      <c r="T138" s="185">
        <v>1822.39613</v>
      </c>
      <c r="U138" s="185">
        <v>1928.8356999999999</v>
      </c>
      <c r="V138" s="428">
        <f>U138/T138-1</f>
        <v>0.05840638500477935</v>
      </c>
      <c r="W138" s="69"/>
      <c r="X138" s="211">
        <f>353.537+0.799</f>
        <v>354.33599999999996</v>
      </c>
      <c r="Y138" s="211">
        <f>350.853+0.669</f>
        <v>351.522</v>
      </c>
      <c r="Z138" s="211">
        <f>'отгр.  2008'!B21</f>
        <v>351.76480000000004</v>
      </c>
      <c r="AA138" s="211">
        <f>'отгр.  2008'!B7</f>
        <v>246.87213300000002</v>
      </c>
      <c r="AB138" s="242">
        <v>262.608258</v>
      </c>
      <c r="AC138" s="242">
        <v>195.6</v>
      </c>
      <c r="AD138" s="242">
        <v>178.5</v>
      </c>
      <c r="AE138" s="242">
        <f>242.43132+0.16202</f>
        <v>242.59334</v>
      </c>
      <c r="AF138" s="242">
        <v>290.9</v>
      </c>
      <c r="AG138" s="242">
        <v>230.4</v>
      </c>
      <c r="AH138" s="242">
        <f>227.5271-AH165</f>
        <v>189.0271</v>
      </c>
      <c r="AI138" s="242">
        <v>281.75358</v>
      </c>
      <c r="AJ138" s="242">
        <v>454.735348</v>
      </c>
      <c r="AK138" s="242">
        <v>412.28260000000006</v>
      </c>
      <c r="AL138" s="242">
        <f>AL140+AL142</f>
        <v>530.63206</v>
      </c>
      <c r="AM138" s="242">
        <f>AM140+AM142</f>
        <v>687.103811</v>
      </c>
      <c r="AN138" s="242">
        <v>836.056988</v>
      </c>
      <c r="AO138" s="242">
        <v>1312.700195</v>
      </c>
      <c r="AP138" s="242">
        <f>AP140+AP142</f>
        <v>1411.123572</v>
      </c>
      <c r="AQ138" s="575">
        <f>AP138/AO138-1</f>
        <v>0.07497780329041559</v>
      </c>
    </row>
    <row r="139" spans="1:43" s="129" customFormat="1" ht="15">
      <c r="A139" s="100" t="s">
        <v>99</v>
      </c>
      <c r="B139" s="100" t="s">
        <v>93</v>
      </c>
      <c r="C139" s="217"/>
      <c r="D139" s="217"/>
      <c r="E139" s="217">
        <f>100.7464-0.6034</f>
        <v>100.143</v>
      </c>
      <c r="F139" s="217">
        <f>200.806-0.655</f>
        <v>200.151</v>
      </c>
      <c r="G139" s="217">
        <v>186.4221</v>
      </c>
      <c r="H139" s="217">
        <v>256.6</v>
      </c>
      <c r="I139" s="181">
        <v>279.9</v>
      </c>
      <c r="J139" s="181">
        <f>326.5331-0.14</f>
        <v>326.3931</v>
      </c>
      <c r="K139" s="181">
        <v>364.4</v>
      </c>
      <c r="L139" s="181">
        <v>417</v>
      </c>
      <c r="M139" s="181">
        <v>394.605</v>
      </c>
      <c r="N139" s="181">
        <v>481.61947999999995</v>
      </c>
      <c r="O139" s="181">
        <v>428.72545</v>
      </c>
      <c r="P139" s="181">
        <v>602.3306</v>
      </c>
      <c r="Q139" s="181">
        <v>718.828804</v>
      </c>
      <c r="R139" s="181">
        <v>476.797</v>
      </c>
      <c r="S139" s="181">
        <v>582.3199999999999</v>
      </c>
      <c r="T139" s="181">
        <v>524.9048</v>
      </c>
      <c r="U139" s="181">
        <v>472.85</v>
      </c>
      <c r="V139" s="428"/>
      <c r="W139" s="289"/>
      <c r="X139" s="220"/>
      <c r="Y139" s="220"/>
      <c r="Z139" s="220"/>
      <c r="AA139" s="22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574"/>
    </row>
    <row r="140" spans="1:43" s="129" customFormat="1" ht="15">
      <c r="A140" s="566" t="s">
        <v>271</v>
      </c>
      <c r="B140" s="566" t="s">
        <v>270</v>
      </c>
      <c r="C140" s="222"/>
      <c r="D140" s="222"/>
      <c r="E140" s="217"/>
      <c r="F140" s="217"/>
      <c r="G140" s="217"/>
      <c r="H140" s="217"/>
      <c r="I140" s="185"/>
      <c r="J140" s="185"/>
      <c r="K140" s="185"/>
      <c r="L140" s="185"/>
      <c r="M140" s="185"/>
      <c r="N140" s="185"/>
      <c r="O140" s="185"/>
      <c r="P140" s="185"/>
      <c r="Q140" s="571">
        <v>548.8380924600001</v>
      </c>
      <c r="R140" s="185">
        <v>484.69151</v>
      </c>
      <c r="S140" s="185">
        <v>399.75710100000003</v>
      </c>
      <c r="T140" s="185">
        <v>661.5271299999999</v>
      </c>
      <c r="U140" s="185">
        <v>565.4817</v>
      </c>
      <c r="V140" s="428">
        <f>U140/T140-1</f>
        <v>-0.14518743925135758</v>
      </c>
      <c r="W140" s="289"/>
      <c r="X140" s="211"/>
      <c r="Y140" s="211"/>
      <c r="Z140" s="220"/>
      <c r="AA140" s="220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>
        <v>530.63206</v>
      </c>
      <c r="AM140" s="242">
        <v>468.597901</v>
      </c>
      <c r="AN140" s="242">
        <v>362.59955500000007</v>
      </c>
      <c r="AO140" s="242">
        <v>610.095935</v>
      </c>
      <c r="AP140" s="242">
        <v>539.6536820000001</v>
      </c>
      <c r="AQ140" s="575">
        <f>AP140/AO140-1</f>
        <v>-0.1154609446791347</v>
      </c>
    </row>
    <row r="141" spans="1:43" s="129" customFormat="1" ht="15">
      <c r="A141" s="100" t="s">
        <v>99</v>
      </c>
      <c r="B141" s="100" t="s">
        <v>93</v>
      </c>
      <c r="C141" s="217"/>
      <c r="D141" s="217"/>
      <c r="E141" s="217"/>
      <c r="F141" s="217"/>
      <c r="G141" s="217"/>
      <c r="H141" s="217"/>
      <c r="I141" s="181"/>
      <c r="J141" s="181"/>
      <c r="K141" s="181"/>
      <c r="L141" s="181"/>
      <c r="M141" s="181"/>
      <c r="N141" s="181"/>
      <c r="O141" s="181"/>
      <c r="P141" s="181"/>
      <c r="Q141" s="572">
        <v>14.72</v>
      </c>
      <c r="R141" s="181">
        <v>16.049010000000003</v>
      </c>
      <c r="S141" s="181">
        <v>16.585</v>
      </c>
      <c r="T141" s="181">
        <v>44.602799999999995</v>
      </c>
      <c r="U141" s="181">
        <v>39.232488000000004</v>
      </c>
      <c r="V141" s="428"/>
      <c r="W141" s="289"/>
      <c r="X141" s="220"/>
      <c r="Y141" s="220"/>
      <c r="Z141" s="220"/>
      <c r="AA141" s="22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574"/>
    </row>
    <row r="142" spans="1:43" s="129" customFormat="1" ht="15">
      <c r="A142" s="566" t="s">
        <v>272</v>
      </c>
      <c r="B142" s="566" t="s">
        <v>269</v>
      </c>
      <c r="C142" s="222"/>
      <c r="D142" s="222"/>
      <c r="E142" s="217"/>
      <c r="F142" s="217"/>
      <c r="G142" s="217"/>
      <c r="H142" s="217"/>
      <c r="I142" s="185"/>
      <c r="J142" s="185"/>
      <c r="K142" s="185"/>
      <c r="L142" s="185"/>
      <c r="M142" s="185"/>
      <c r="N142" s="185"/>
      <c r="O142" s="185"/>
      <c r="P142" s="185"/>
      <c r="Q142" s="571">
        <v>0</v>
      </c>
      <c r="R142" s="185">
        <v>260.78402</v>
      </c>
      <c r="S142" s="185">
        <v>528.586079</v>
      </c>
      <c r="T142" s="185">
        <v>691.956</v>
      </c>
      <c r="U142" s="185">
        <v>942.54</v>
      </c>
      <c r="V142" s="428">
        <f>U142/T142-1</f>
        <v>0.36213863309227756</v>
      </c>
      <c r="W142" s="289"/>
      <c r="X142" s="211"/>
      <c r="Y142" s="211"/>
      <c r="Z142" s="220"/>
      <c r="AA142" s="220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>
        <v>0</v>
      </c>
      <c r="AM142" s="242">
        <v>218.50591</v>
      </c>
      <c r="AN142" s="242">
        <v>473.45743300000004</v>
      </c>
      <c r="AO142" s="242">
        <v>702.60426</v>
      </c>
      <c r="AP142" s="242">
        <v>871.46989</v>
      </c>
      <c r="AQ142" s="575">
        <f>AP142/AO142-1</f>
        <v>0.240342451097578</v>
      </c>
    </row>
    <row r="143" spans="1:43" s="129" customFormat="1" ht="15">
      <c r="A143" s="100" t="s">
        <v>99</v>
      </c>
      <c r="B143" s="100" t="s">
        <v>93</v>
      </c>
      <c r="C143" s="217"/>
      <c r="D143" s="217"/>
      <c r="E143" s="217"/>
      <c r="F143" s="217"/>
      <c r="G143" s="217"/>
      <c r="H143" s="217"/>
      <c r="I143" s="181"/>
      <c r="J143" s="181"/>
      <c r="K143" s="181"/>
      <c r="L143" s="181"/>
      <c r="M143" s="181"/>
      <c r="N143" s="181"/>
      <c r="O143" s="181"/>
      <c r="P143" s="181"/>
      <c r="Q143" s="572">
        <v>0</v>
      </c>
      <c r="R143" s="181">
        <v>26.034989999999997</v>
      </c>
      <c r="S143" s="181">
        <v>31.683000000000003</v>
      </c>
      <c r="T143" s="181">
        <v>11.389</v>
      </c>
      <c r="U143" s="181">
        <v>12.800510000000001</v>
      </c>
      <c r="V143" s="428"/>
      <c r="W143" s="289"/>
      <c r="X143" s="220"/>
      <c r="Y143" s="220"/>
      <c r="Z143" s="220"/>
      <c r="AA143" s="22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574"/>
    </row>
    <row r="144" spans="1:43" ht="15">
      <c r="A144" s="116" t="s">
        <v>123</v>
      </c>
      <c r="B144" s="117" t="s">
        <v>64</v>
      </c>
      <c r="C144" s="222">
        <v>0</v>
      </c>
      <c r="D144" s="222">
        <v>0</v>
      </c>
      <c r="E144" s="222">
        <f>'пр-во '!G20</f>
        <v>1.099</v>
      </c>
      <c r="F144" s="222">
        <f>'пр-во '!G7</f>
        <v>264.12153</v>
      </c>
      <c r="G144" s="222">
        <v>317.6211</v>
      </c>
      <c r="H144" s="222">
        <v>513.5</v>
      </c>
      <c r="I144" s="185">
        <v>549</v>
      </c>
      <c r="J144" s="185">
        <v>688.70388</v>
      </c>
      <c r="K144" s="185">
        <v>807</v>
      </c>
      <c r="L144" s="185">
        <v>936.8</v>
      </c>
      <c r="M144" s="185">
        <v>859.5842</v>
      </c>
      <c r="N144" s="185">
        <v>1124.7236</v>
      </c>
      <c r="O144" s="185">
        <v>949.7779</v>
      </c>
      <c r="P144" s="185">
        <v>1421.665</v>
      </c>
      <c r="Q144" s="185">
        <v>1728.9534</v>
      </c>
      <c r="R144" s="185">
        <v>1096.4060399999998</v>
      </c>
      <c r="S144" s="185">
        <v>1354.3368</v>
      </c>
      <c r="T144" s="185">
        <v>1264.1203</v>
      </c>
      <c r="U144" s="185">
        <v>1107.2223000000001</v>
      </c>
      <c r="V144" s="428">
        <f>U144/T144-1</f>
        <v>-0.12411635190100179</v>
      </c>
      <c r="W144" s="69"/>
      <c r="X144" s="211"/>
      <c r="Y144" s="211"/>
      <c r="Z144" s="211">
        <f>'отгр.  2008'!G21</f>
        <v>0</v>
      </c>
      <c r="AA144" s="211">
        <f>'отгр.  2008'!G7</f>
        <v>261.41853</v>
      </c>
      <c r="AB144" s="242">
        <v>307.097</v>
      </c>
      <c r="AC144" s="242">
        <v>517.9</v>
      </c>
      <c r="AD144" s="242">
        <v>550.6</v>
      </c>
      <c r="AE144" s="242">
        <f>682.5295</f>
        <v>682.5295</v>
      </c>
      <c r="AF144" s="242">
        <v>804.4</v>
      </c>
      <c r="AG144" s="242">
        <v>943.4</v>
      </c>
      <c r="AH144" s="242">
        <v>859.7183999999997</v>
      </c>
      <c r="AI144" s="242">
        <v>1128.38489</v>
      </c>
      <c r="AJ144" s="242">
        <v>946.0113</v>
      </c>
      <c r="AK144" s="242">
        <v>1409.35052</v>
      </c>
      <c r="AL144" s="242">
        <v>1732.76227</v>
      </c>
      <c r="AM144" s="242">
        <v>1103.87247</v>
      </c>
      <c r="AN144" s="242">
        <v>1337.87441</v>
      </c>
      <c r="AO144" s="242">
        <v>1260.1643800000002</v>
      </c>
      <c r="AP144" s="242">
        <v>1091.107137</v>
      </c>
      <c r="AQ144" s="575">
        <f>AP144/AO144-1</f>
        <v>-0.13415491318680206</v>
      </c>
    </row>
    <row r="145" spans="1:43" ht="15">
      <c r="A145" s="116" t="s">
        <v>283</v>
      </c>
      <c r="B145" s="116" t="s">
        <v>284</v>
      </c>
      <c r="C145" s="222"/>
      <c r="D145" s="222"/>
      <c r="E145" s="222"/>
      <c r="F145" s="222"/>
      <c r="G145" s="222"/>
      <c r="H145" s="222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>
        <v>8.777999999999999</v>
      </c>
      <c r="U145" s="185">
        <v>98.637</v>
      </c>
      <c r="V145" s="428" t="s">
        <v>290</v>
      </c>
      <c r="W145" s="69"/>
      <c r="X145" s="211"/>
      <c r="Y145" s="211"/>
      <c r="Z145" s="211"/>
      <c r="AA145" s="211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>
        <v>5.218999999999999</v>
      </c>
      <c r="AP145" s="242">
        <v>85.750935</v>
      </c>
      <c r="AQ145" s="575" t="s">
        <v>290</v>
      </c>
    </row>
    <row r="146" spans="1:43" ht="15.75">
      <c r="A146" s="70" t="s">
        <v>124</v>
      </c>
      <c r="B146" s="70" t="s">
        <v>65</v>
      </c>
      <c r="C146" s="144">
        <f>C148+C150+C151</f>
        <v>1247.22</v>
      </c>
      <c r="D146" s="144">
        <f>D148+D150+D151</f>
        <v>1150.4089999999999</v>
      </c>
      <c r="E146" s="144">
        <f>E148+E150+E151</f>
        <v>1189.956305</v>
      </c>
      <c r="F146" s="144">
        <f>F148+F150+F151</f>
        <v>1104.49505</v>
      </c>
      <c r="G146" s="144">
        <v>1038.66628</v>
      </c>
      <c r="H146" s="144">
        <f>H148+H150+H151</f>
        <v>1120.1</v>
      </c>
      <c r="I146" s="75">
        <f>I148</f>
        <v>1154.3</v>
      </c>
      <c r="J146" s="75">
        <f>J148</f>
        <v>1135.1</v>
      </c>
      <c r="K146" s="75">
        <f>K148</f>
        <v>1150.9</v>
      </c>
      <c r="L146" s="75">
        <f>L148</f>
        <v>1186.8</v>
      </c>
      <c r="M146" s="75">
        <f aca="true" t="shared" si="187" ref="M146:R146">M148+M151</f>
        <v>1190.039</v>
      </c>
      <c r="N146" s="75">
        <f t="shared" si="187"/>
        <v>1221.68078</v>
      </c>
      <c r="O146" s="75">
        <f t="shared" si="187"/>
        <v>1465.6280000000002</v>
      </c>
      <c r="P146" s="75">
        <f t="shared" si="187"/>
        <v>1555.89054</v>
      </c>
      <c r="Q146" s="75">
        <f t="shared" si="187"/>
        <v>1515.66624</v>
      </c>
      <c r="R146" s="75">
        <f t="shared" si="187"/>
        <v>1629.48586</v>
      </c>
      <c r="S146" s="75">
        <f>S148+S151</f>
        <v>1830.2142</v>
      </c>
      <c r="T146" s="75">
        <f>T148+T151</f>
        <v>1631.267464</v>
      </c>
      <c r="U146" s="75">
        <f>U148+U151</f>
        <v>1651.07725</v>
      </c>
      <c r="V146" s="443">
        <f>U146/T146-1</f>
        <v>0.012143800104628344</v>
      </c>
      <c r="W146" s="288"/>
      <c r="X146" s="213">
        <f>X148+X150+X151</f>
        <v>1225.011</v>
      </c>
      <c r="Y146" s="213">
        <f>Y148+Y150+Y151</f>
        <v>1157.2540000000001</v>
      </c>
      <c r="Z146" s="213">
        <f>Z148+Z150+Z151</f>
        <v>1183.940368</v>
      </c>
      <c r="AA146" s="213">
        <f>AA148+AA150+AA151</f>
        <v>1055.436838</v>
      </c>
      <c r="AB146" s="238">
        <v>1055.114711</v>
      </c>
      <c r="AC146" s="213">
        <f>AC148+AC150+AC151</f>
        <v>1109.4</v>
      </c>
      <c r="AD146" s="238">
        <f aca="true" t="shared" si="188" ref="AD146:AK146">AD148+AD151</f>
        <v>1168.5</v>
      </c>
      <c r="AE146" s="238">
        <f t="shared" si="188"/>
        <v>1109.887866</v>
      </c>
      <c r="AF146" s="238">
        <f t="shared" si="188"/>
        <v>1164</v>
      </c>
      <c r="AG146" s="238">
        <f t="shared" si="188"/>
        <v>1193.8</v>
      </c>
      <c r="AH146" s="238">
        <f t="shared" si="188"/>
        <v>1171.2833099999987</v>
      </c>
      <c r="AI146" s="238">
        <f t="shared" si="188"/>
        <v>1226.672302</v>
      </c>
      <c r="AJ146" s="238">
        <f t="shared" si="188"/>
        <v>1469.42993</v>
      </c>
      <c r="AK146" s="238">
        <f t="shared" si="188"/>
        <v>1541.5778959999998</v>
      </c>
      <c r="AL146" s="238">
        <f>AL148+AL151</f>
        <v>1480.9535999999996</v>
      </c>
      <c r="AM146" s="238">
        <f>AM148+AM151</f>
        <v>1569.5033660000001</v>
      </c>
      <c r="AN146" s="238">
        <f>AN148+AN151</f>
        <v>1702.896922</v>
      </c>
      <c r="AO146" s="238">
        <f>AO148+AO151</f>
        <v>1577.1619680000001</v>
      </c>
      <c r="AP146" s="238">
        <f>AP148+AP151</f>
        <v>1609.764706</v>
      </c>
      <c r="AQ146" s="573">
        <f>AP146/AO146-1</f>
        <v>0.020671775417805183</v>
      </c>
    </row>
    <row r="147" spans="1:43" s="129" customFormat="1" ht="15.75">
      <c r="A147" s="100" t="s">
        <v>99</v>
      </c>
      <c r="B147" s="100" t="s">
        <v>93</v>
      </c>
      <c r="C147" s="217">
        <f>C149</f>
        <v>0</v>
      </c>
      <c r="D147" s="217">
        <f>D149</f>
        <v>0</v>
      </c>
      <c r="E147" s="217">
        <f>E149</f>
        <v>19.20084</v>
      </c>
      <c r="F147" s="217">
        <f>F149</f>
        <v>18.22072</v>
      </c>
      <c r="G147" s="217">
        <v>10.41968</v>
      </c>
      <c r="H147" s="217">
        <v>0</v>
      </c>
      <c r="I147" s="181">
        <v>0</v>
      </c>
      <c r="J147" s="181">
        <v>0</v>
      </c>
      <c r="K147" s="181"/>
      <c r="L147" s="181"/>
      <c r="M147" s="181">
        <f aca="true" t="shared" si="189" ref="M147:R147">M149</f>
        <v>2.585</v>
      </c>
      <c r="N147" s="181">
        <f t="shared" si="189"/>
        <v>0.40897</v>
      </c>
      <c r="O147" s="181">
        <f t="shared" si="189"/>
        <v>1.91976</v>
      </c>
      <c r="P147" s="181">
        <f t="shared" si="189"/>
        <v>0.9546699999999999</v>
      </c>
      <c r="Q147" s="181">
        <f t="shared" si="189"/>
        <v>32.734021</v>
      </c>
      <c r="R147" s="181">
        <f t="shared" si="189"/>
        <v>52.434971</v>
      </c>
      <c r="S147" s="181">
        <f>S149</f>
        <v>61.34110999999999</v>
      </c>
      <c r="T147" s="181">
        <f>T149</f>
        <v>30.65248</v>
      </c>
      <c r="U147" s="181">
        <f>U149</f>
        <v>25.210150000000002</v>
      </c>
      <c r="V147" s="428"/>
      <c r="W147" s="289"/>
      <c r="X147" s="211"/>
      <c r="Y147" s="211"/>
      <c r="Z147" s="218"/>
      <c r="AA147" s="21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574"/>
    </row>
    <row r="148" spans="1:43" ht="15.75">
      <c r="A148" s="117" t="s">
        <v>66</v>
      </c>
      <c r="B148" s="117" t="s">
        <v>67</v>
      </c>
      <c r="C148" s="222">
        <v>1111.392</v>
      </c>
      <c r="D148" s="222">
        <v>1120.608</v>
      </c>
      <c r="E148" s="222">
        <v>1006.371305</v>
      </c>
      <c r="F148" s="222">
        <f>1038.734</f>
        <v>1038.734</v>
      </c>
      <c r="G148" s="222">
        <v>1013.7841</v>
      </c>
      <c r="H148" s="222">
        <v>1120.1</v>
      </c>
      <c r="I148" s="181">
        <v>1154.3</v>
      </c>
      <c r="J148" s="181">
        <v>1135.1</v>
      </c>
      <c r="K148" s="181">
        <v>1150.9</v>
      </c>
      <c r="L148" s="181">
        <v>1186.8</v>
      </c>
      <c r="M148" s="181">
        <v>1186.997</v>
      </c>
      <c r="N148" s="181">
        <v>1217.37798</v>
      </c>
      <c r="O148" s="181">
        <v>1461.63</v>
      </c>
      <c r="P148" s="181">
        <v>1553.47</v>
      </c>
      <c r="Q148" s="181">
        <v>1390.911</v>
      </c>
      <c r="R148" s="181">
        <v>1493.72</v>
      </c>
      <c r="S148" s="181">
        <v>1611.6589999999999</v>
      </c>
      <c r="T148" s="181">
        <v>1521.44</v>
      </c>
      <c r="U148" s="181">
        <v>1570.948</v>
      </c>
      <c r="V148" s="428">
        <f>U148/T148-1</f>
        <v>0.03254022504995269</v>
      </c>
      <c r="W148" s="69"/>
      <c r="X148" s="211">
        <f>1087.269+1.249</f>
        <v>1088.518</v>
      </c>
      <c r="Y148" s="211">
        <f>1125.759+1.345</f>
        <v>1127.104</v>
      </c>
      <c r="Z148" s="211">
        <f>'отгр.  2008'!D21</f>
        <v>1009.109268</v>
      </c>
      <c r="AA148" s="211">
        <f>'отгр.  2008'!D7</f>
        <v>981.929338</v>
      </c>
      <c r="AB148" s="242">
        <v>1029.296531</v>
      </c>
      <c r="AC148" s="242">
        <v>1109.4</v>
      </c>
      <c r="AD148" s="242">
        <v>1168.5</v>
      </c>
      <c r="AE148" s="242">
        <f>1109.52729+0.360576</f>
        <v>1109.887866</v>
      </c>
      <c r="AF148" s="242">
        <v>1164</v>
      </c>
      <c r="AG148" s="242">
        <v>1193.8</v>
      </c>
      <c r="AH148" s="242">
        <v>1168.3373099999988</v>
      </c>
      <c r="AI148" s="242">
        <v>1222.273502</v>
      </c>
      <c r="AJ148" s="242">
        <v>1465.43193</v>
      </c>
      <c r="AK148" s="242">
        <v>1539.1573559999997</v>
      </c>
      <c r="AL148" s="242">
        <v>1360.4364799999996</v>
      </c>
      <c r="AM148" s="242">
        <v>1429.4993860000002</v>
      </c>
      <c r="AN148" s="242">
        <v>1486.047222</v>
      </c>
      <c r="AO148" s="242">
        <v>1466.0092940000002</v>
      </c>
      <c r="AP148" s="242">
        <v>1529.635456</v>
      </c>
      <c r="AQ148" s="575">
        <f>AP148/AO148-1</f>
        <v>0.043400926761109515</v>
      </c>
    </row>
    <row r="149" spans="1:43" s="129" customFormat="1" ht="15">
      <c r="A149" s="100" t="s">
        <v>99</v>
      </c>
      <c r="B149" s="100" t="s">
        <v>93</v>
      </c>
      <c r="C149" s="222"/>
      <c r="D149" s="222"/>
      <c r="E149" s="217">
        <v>19.20084</v>
      </c>
      <c r="F149" s="217">
        <f>18.22072</f>
        <v>18.22072</v>
      </c>
      <c r="G149" s="217">
        <v>10.41968</v>
      </c>
      <c r="H149" s="217">
        <v>0</v>
      </c>
      <c r="I149" s="181">
        <v>0</v>
      </c>
      <c r="J149" s="181">
        <v>0</v>
      </c>
      <c r="K149" s="181"/>
      <c r="L149" s="181"/>
      <c r="M149" s="181">
        <v>2.585</v>
      </c>
      <c r="N149" s="181">
        <v>0.40897</v>
      </c>
      <c r="O149" s="181">
        <v>1.91976</v>
      </c>
      <c r="P149" s="181">
        <v>0.9546699999999999</v>
      </c>
      <c r="Q149" s="181">
        <v>32.734021</v>
      </c>
      <c r="R149" s="181">
        <v>52.434971</v>
      </c>
      <c r="S149" s="181">
        <v>61.34110999999999</v>
      </c>
      <c r="T149" s="181">
        <v>30.65248</v>
      </c>
      <c r="U149" s="181">
        <v>25.210150000000002</v>
      </c>
      <c r="V149" s="428"/>
      <c r="W149" s="289"/>
      <c r="X149" s="211"/>
      <c r="Y149" s="211"/>
      <c r="Z149" s="220"/>
      <c r="AA149" s="220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574"/>
    </row>
    <row r="150" spans="1:43" ht="15.75" hidden="1">
      <c r="A150" s="117" t="s">
        <v>68</v>
      </c>
      <c r="B150" s="117" t="s">
        <v>69</v>
      </c>
      <c r="C150" s="222">
        <v>135.828</v>
      </c>
      <c r="D150" s="222">
        <v>29.801</v>
      </c>
      <c r="E150" s="222">
        <f>'пр-во '!F20</f>
        <v>136.074</v>
      </c>
      <c r="F150" s="222">
        <f>'пр-во '!F7</f>
        <v>4.85605</v>
      </c>
      <c r="G150" s="222">
        <v>0</v>
      </c>
      <c r="H150" s="222">
        <v>0</v>
      </c>
      <c r="I150" s="185">
        <v>0</v>
      </c>
      <c r="J150" s="185">
        <v>0</v>
      </c>
      <c r="K150" s="185"/>
      <c r="L150" s="185"/>
      <c r="M150" s="185"/>
      <c r="N150" s="185"/>
      <c r="O150" s="185"/>
      <c r="P150" s="185"/>
      <c r="Q150" s="185"/>
      <c r="R150" s="185"/>
      <c r="S150" s="185"/>
      <c r="T150" s="185">
        <v>0</v>
      </c>
      <c r="U150" s="185"/>
      <c r="V150" s="428" t="e">
        <f>R150/Q150-1</f>
        <v>#DIV/0!</v>
      </c>
      <c r="W150" s="69"/>
      <c r="X150" s="211">
        <v>136.493</v>
      </c>
      <c r="Y150" s="211">
        <v>30.15</v>
      </c>
      <c r="Z150" s="211">
        <f>'отгр.  2008'!F21</f>
        <v>133.0401</v>
      </c>
      <c r="AA150" s="211">
        <f>'отгр.  2008'!F7</f>
        <v>8.252</v>
      </c>
      <c r="AB150" s="213">
        <v>0</v>
      </c>
      <c r="AC150" s="213">
        <v>0</v>
      </c>
      <c r="AD150" s="213">
        <v>0</v>
      </c>
      <c r="AE150" s="213">
        <v>0</v>
      </c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574" t="e">
        <f>AH150/AG150-1</f>
        <v>#DIV/0!</v>
      </c>
    </row>
    <row r="151" spans="1:43" ht="15.75">
      <c r="A151" s="117" t="s">
        <v>70</v>
      </c>
      <c r="B151" s="116" t="s">
        <v>125</v>
      </c>
      <c r="C151" s="222">
        <v>0</v>
      </c>
      <c r="D151" s="222">
        <v>0</v>
      </c>
      <c r="E151" s="222">
        <f>'пр-во '!E20</f>
        <v>47.511</v>
      </c>
      <c r="F151" s="222">
        <f>'пр-во '!E7</f>
        <v>60.905</v>
      </c>
      <c r="G151" s="222">
        <v>24.88218</v>
      </c>
      <c r="H151" s="222">
        <v>0</v>
      </c>
      <c r="I151" s="185">
        <v>0</v>
      </c>
      <c r="J151" s="185">
        <v>0</v>
      </c>
      <c r="K151" s="185"/>
      <c r="L151" s="185"/>
      <c r="M151" s="185">
        <v>3.042</v>
      </c>
      <c r="N151" s="185">
        <v>4.3028</v>
      </c>
      <c r="O151" s="185">
        <v>3.998</v>
      </c>
      <c r="P151" s="185">
        <v>2.42054</v>
      </c>
      <c r="Q151" s="185">
        <v>124.75524</v>
      </c>
      <c r="R151" s="185">
        <v>135.76586</v>
      </c>
      <c r="S151" s="185">
        <v>218.55519999999999</v>
      </c>
      <c r="T151" s="185">
        <v>109.827464</v>
      </c>
      <c r="U151" s="185">
        <v>80.12925</v>
      </c>
      <c r="V151" s="428">
        <f>U151/T151-1</f>
        <v>-0.2704079008871588</v>
      </c>
      <c r="W151" s="69"/>
      <c r="X151" s="211">
        <v>0</v>
      </c>
      <c r="Y151" s="211">
        <v>0</v>
      </c>
      <c r="Z151" s="211">
        <f>'отгр.  2008'!E21</f>
        <v>41.791</v>
      </c>
      <c r="AA151" s="211">
        <f>'отгр.  2008'!E7</f>
        <v>65.2555</v>
      </c>
      <c r="AB151" s="242">
        <v>25.818179999999998</v>
      </c>
      <c r="AC151" s="213">
        <v>0</v>
      </c>
      <c r="AD151" s="213">
        <v>0</v>
      </c>
      <c r="AE151" s="213">
        <v>0</v>
      </c>
      <c r="AF151" s="213">
        <v>0</v>
      </c>
      <c r="AG151" s="213">
        <v>0</v>
      </c>
      <c r="AH151" s="211">
        <v>2.946</v>
      </c>
      <c r="AI151" s="211">
        <v>4.3988</v>
      </c>
      <c r="AJ151" s="211">
        <v>3.998</v>
      </c>
      <c r="AK151" s="211">
        <v>2.42054</v>
      </c>
      <c r="AL151" s="211">
        <v>120.51712</v>
      </c>
      <c r="AM151" s="211">
        <v>140.00398</v>
      </c>
      <c r="AN151" s="211">
        <v>216.84969999999998</v>
      </c>
      <c r="AO151" s="211">
        <v>111.152674</v>
      </c>
      <c r="AP151" s="211">
        <v>80.12925</v>
      </c>
      <c r="AQ151" s="575">
        <f>AP151/AO151-1</f>
        <v>-0.27910641178097073</v>
      </c>
    </row>
    <row r="152" spans="1:43" ht="31.5">
      <c r="A152" s="70" t="s">
        <v>126</v>
      </c>
      <c r="B152" s="70" t="s">
        <v>72</v>
      </c>
      <c r="C152" s="144">
        <f>C154+C156+C158+C160</f>
        <v>359.082</v>
      </c>
      <c r="D152" s="144">
        <f>D154+D156+D158+D160</f>
        <v>385.976</v>
      </c>
      <c r="E152" s="144">
        <f>E154+E156+E158+E160</f>
        <v>494.63574200000005</v>
      </c>
      <c r="F152" s="144">
        <f>F154+F156+F158+F160</f>
        <v>516.288504</v>
      </c>
      <c r="G152" s="144">
        <v>355.364952</v>
      </c>
      <c r="H152" s="144">
        <f aca="true" t="shared" si="190" ref="H152:K153">H154+H156+H158+H160</f>
        <v>371</v>
      </c>
      <c r="I152" s="144">
        <f t="shared" si="190"/>
        <v>398.617725</v>
      </c>
      <c r="J152" s="144">
        <f t="shared" si="190"/>
        <v>389.209346</v>
      </c>
      <c r="K152" s="144">
        <f t="shared" si="190"/>
        <v>382.454937</v>
      </c>
      <c r="L152" s="144">
        <f aca="true" t="shared" si="191" ref="L152:P153">L154+L156+L158+L160</f>
        <v>400.79999999999995</v>
      </c>
      <c r="M152" s="144">
        <f t="shared" si="191"/>
        <v>446.855906</v>
      </c>
      <c r="N152" s="144">
        <f t="shared" si="191"/>
        <v>386.234531</v>
      </c>
      <c r="O152" s="144">
        <f t="shared" si="191"/>
        <v>444.617701</v>
      </c>
      <c r="P152" s="144">
        <f t="shared" si="191"/>
        <v>475.13019699999995</v>
      </c>
      <c r="Q152" s="144">
        <f aca="true" t="shared" si="192" ref="Q152:U153">Q154+Q156+Q158+Q160</f>
        <v>485.314809</v>
      </c>
      <c r="R152" s="144">
        <f t="shared" si="192"/>
        <v>422.948448</v>
      </c>
      <c r="S152" s="144">
        <f t="shared" si="192"/>
        <v>474.0290600000001</v>
      </c>
      <c r="T152" s="144">
        <f t="shared" si="192"/>
        <v>387.74218499999995</v>
      </c>
      <c r="U152" s="144">
        <f t="shared" si="192"/>
        <v>388.207915</v>
      </c>
      <c r="V152" s="443">
        <f>U152/T152-1</f>
        <v>0.0012011331704855355</v>
      </c>
      <c r="W152" s="288"/>
      <c r="X152" s="213">
        <f>X154+X156+X158+X160</f>
        <v>180.661</v>
      </c>
      <c r="Y152" s="213">
        <f>Y154+Y156+Y158+Y160</f>
        <v>189.89184500000002</v>
      </c>
      <c r="Z152" s="213">
        <f>Z154+Z156+Z158+Z160</f>
        <v>237.826615</v>
      </c>
      <c r="AA152" s="213">
        <f>AA154+AA156+AA158+AA160</f>
        <v>240.9599015</v>
      </c>
      <c r="AB152" s="238">
        <v>172.78531500000003</v>
      </c>
      <c r="AC152" s="213">
        <f aca="true" t="shared" si="193" ref="AC152:AK152">AC154+AC156+AC158+AC160</f>
        <v>182.5</v>
      </c>
      <c r="AD152" s="213">
        <f t="shared" si="193"/>
        <v>190.04699999999997</v>
      </c>
      <c r="AE152" s="213">
        <f t="shared" si="193"/>
        <v>186.7004045</v>
      </c>
      <c r="AF152" s="213">
        <f t="shared" si="193"/>
        <v>192.43244</v>
      </c>
      <c r="AG152" s="213">
        <f t="shared" si="193"/>
        <v>194.79999999999998</v>
      </c>
      <c r="AH152" s="213">
        <f t="shared" si="193"/>
        <v>214.06897050000032</v>
      </c>
      <c r="AI152" s="213">
        <f t="shared" si="193"/>
        <v>186.8070155</v>
      </c>
      <c r="AJ152" s="213">
        <f t="shared" si="193"/>
        <v>222.6763115</v>
      </c>
      <c r="AK152" s="213">
        <f t="shared" si="193"/>
        <v>236.47403300000002</v>
      </c>
      <c r="AL152" s="213">
        <f>AL154+AL156+AL158+AL160</f>
        <v>237.17782799999998</v>
      </c>
      <c r="AM152" s="213">
        <f>AM154+AM156+AM158+AM160</f>
        <v>210.621669</v>
      </c>
      <c r="AN152" s="213">
        <f>AN154+AN156+AN158+AN160</f>
        <v>227.47334600000002</v>
      </c>
      <c r="AO152" s="213">
        <f>AO154+AO156+AO158+AO160</f>
        <v>189.33752</v>
      </c>
      <c r="AP152" s="213">
        <f>AP154+AP156+AP158+AP160</f>
        <v>182.368303</v>
      </c>
      <c r="AQ152" s="573">
        <f>AP152/AO152-1</f>
        <v>-0.036808430785403856</v>
      </c>
    </row>
    <row r="153" spans="1:43" s="129" customFormat="1" ht="15.75">
      <c r="A153" s="100" t="s">
        <v>99</v>
      </c>
      <c r="B153" s="100" t="s">
        <v>93</v>
      </c>
      <c r="C153" s="217">
        <f>C155+C157+C159</f>
        <v>179.5</v>
      </c>
      <c r="D153" s="217">
        <f>D155+D157+D159</f>
        <v>191</v>
      </c>
      <c r="E153" s="217">
        <f>E155+E157+E159</f>
        <v>257.2993335</v>
      </c>
      <c r="F153" s="217">
        <f>F155+F157+F159</f>
        <v>272.71403499999997</v>
      </c>
      <c r="G153" s="217">
        <f>G155+G157+G159+G161</f>
        <v>183.28573599999999</v>
      </c>
      <c r="H153" s="217">
        <f t="shared" si="190"/>
        <v>188.5</v>
      </c>
      <c r="I153" s="217">
        <f t="shared" si="190"/>
        <v>208.42060500000002</v>
      </c>
      <c r="J153" s="217">
        <f t="shared" si="190"/>
        <v>202.3983465</v>
      </c>
      <c r="K153" s="217">
        <f t="shared" si="190"/>
        <v>176.22921</v>
      </c>
      <c r="L153" s="217">
        <f t="shared" si="191"/>
        <v>206.50000000000003</v>
      </c>
      <c r="M153" s="217">
        <f t="shared" si="191"/>
        <v>231.88078099999998</v>
      </c>
      <c r="N153" s="217">
        <f t="shared" si="191"/>
        <v>199.474874</v>
      </c>
      <c r="O153" s="217">
        <f t="shared" si="191"/>
        <v>220.921944</v>
      </c>
      <c r="P153" s="217">
        <f t="shared" si="191"/>
        <v>239.248468</v>
      </c>
      <c r="Q153" s="217">
        <f t="shared" si="192"/>
        <v>247.81352099999998</v>
      </c>
      <c r="R153" s="217">
        <f t="shared" si="192"/>
        <v>213.1422235</v>
      </c>
      <c r="S153" s="217">
        <f t="shared" si="192"/>
        <v>245.899938</v>
      </c>
      <c r="T153" s="217">
        <f t="shared" si="192"/>
        <v>199.032448</v>
      </c>
      <c r="U153" s="217">
        <f t="shared" si="192"/>
        <v>204.78499599999998</v>
      </c>
      <c r="V153" s="428"/>
      <c r="W153" s="289"/>
      <c r="X153" s="211"/>
      <c r="Y153" s="211"/>
      <c r="Z153" s="218"/>
      <c r="AA153" s="218"/>
      <c r="AB153" s="238"/>
      <c r="AC153" s="238"/>
      <c r="AD153" s="238"/>
      <c r="AE153" s="238"/>
      <c r="AF153" s="238"/>
      <c r="AG153" s="238"/>
      <c r="AH153" s="238"/>
      <c r="AI153" s="242"/>
      <c r="AJ153" s="242"/>
      <c r="AK153" s="242"/>
      <c r="AL153" s="242"/>
      <c r="AM153" s="242"/>
      <c r="AN153" s="242"/>
      <c r="AO153" s="242"/>
      <c r="AP153" s="242"/>
      <c r="AQ153" s="574"/>
    </row>
    <row r="154" spans="1:43" ht="15">
      <c r="A154" s="117" t="s">
        <v>73</v>
      </c>
      <c r="B154" s="116" t="s">
        <v>74</v>
      </c>
      <c r="C154" s="222">
        <f>97.35+0.04</f>
        <v>97.39</v>
      </c>
      <c r="D154" s="222">
        <v>98.75</v>
      </c>
      <c r="E154" s="222">
        <f>'пр-во '!K20</f>
        <v>102.05</v>
      </c>
      <c r="F154" s="222">
        <f>'пр-во '!K7</f>
        <v>102.395</v>
      </c>
      <c r="G154" s="222">
        <v>76.735</v>
      </c>
      <c r="H154" s="222">
        <v>81.7</v>
      </c>
      <c r="I154" s="157">
        <f>77.79</f>
        <v>77.79</v>
      </c>
      <c r="J154" s="157">
        <v>79.905</v>
      </c>
      <c r="K154" s="157">
        <v>87.86</v>
      </c>
      <c r="L154" s="157">
        <v>82.7</v>
      </c>
      <c r="M154" s="157">
        <v>90.845</v>
      </c>
      <c r="N154" s="157">
        <v>80.465</v>
      </c>
      <c r="O154" s="157">
        <v>101.525</v>
      </c>
      <c r="P154" s="157">
        <v>107.575</v>
      </c>
      <c r="Q154" s="157">
        <v>106.14</v>
      </c>
      <c r="R154" s="157">
        <v>97.82999999999998</v>
      </c>
      <c r="S154" s="157">
        <v>105.35499999999999</v>
      </c>
      <c r="T154" s="157">
        <v>95.175</v>
      </c>
      <c r="U154" s="157">
        <v>89.555</v>
      </c>
      <c r="V154" s="428">
        <f>U154/T154-1</f>
        <v>-0.05904912004202778</v>
      </c>
      <c r="W154" s="69"/>
      <c r="X154" s="211">
        <f>20.26+0.042</f>
        <v>20.302000000000003</v>
      </c>
      <c r="Y154" s="211">
        <v>15.19181</v>
      </c>
      <c r="Z154" s="211">
        <f>'отгр.  2008'!K21</f>
        <v>4.855722999999999</v>
      </c>
      <c r="AA154" s="211">
        <f>'отгр.  2008'!K7</f>
        <v>3.2667175</v>
      </c>
      <c r="AB154" s="242">
        <v>10.804243</v>
      </c>
      <c r="AC154" s="242">
        <v>13.3</v>
      </c>
      <c r="AD154" s="242">
        <f>4.427+0.098</f>
        <v>4.5249999999999995</v>
      </c>
      <c r="AE154" s="242">
        <f>7.177959+0.0785795</f>
        <v>7.2565385000000004</v>
      </c>
      <c r="AF154" s="242">
        <v>20.8</v>
      </c>
      <c r="AG154" s="242">
        <v>12.2</v>
      </c>
      <c r="AH154" s="242">
        <v>7.8727665</v>
      </c>
      <c r="AI154" s="242">
        <v>9.7115625</v>
      </c>
      <c r="AJ154" s="242">
        <v>19.346987499999997</v>
      </c>
      <c r="AK154" s="242">
        <v>20.577688000000002</v>
      </c>
      <c r="AL154" s="242">
        <v>15.406998000000002</v>
      </c>
      <c r="AM154" s="242">
        <v>19.695189999999997</v>
      </c>
      <c r="AN154" s="242">
        <v>14.438156000000001</v>
      </c>
      <c r="AO154" s="242">
        <v>20.493434999999998</v>
      </c>
      <c r="AP154" s="242">
        <v>12.862388</v>
      </c>
      <c r="AQ154" s="575">
        <f>AP154/AO154-1</f>
        <v>-0.372365442884514</v>
      </c>
    </row>
    <row r="155" spans="1:43" s="129" customFormat="1" ht="15">
      <c r="A155" s="100" t="s">
        <v>99</v>
      </c>
      <c r="B155" s="100" t="s">
        <v>93</v>
      </c>
      <c r="C155" s="222">
        <v>77.5</v>
      </c>
      <c r="D155" s="222">
        <v>82.6</v>
      </c>
      <c r="E155" s="217">
        <f>97.8228805-0.066547</f>
        <v>97.7563335</v>
      </c>
      <c r="F155" s="217">
        <f>98.424695-0.06666</f>
        <v>98.358035</v>
      </c>
      <c r="G155" s="227">
        <v>65.663636</v>
      </c>
      <c r="H155" s="217">
        <v>69.1</v>
      </c>
      <c r="I155" s="157">
        <f>73.668823-0.100218</f>
        <v>73.568605</v>
      </c>
      <c r="J155" s="157">
        <f>71.9206935-0.078147</f>
        <v>71.8425465</v>
      </c>
      <c r="K155" s="157">
        <v>67.34221000000001</v>
      </c>
      <c r="L155" s="157">
        <v>70.7</v>
      </c>
      <c r="M155" s="157">
        <v>82.348781</v>
      </c>
      <c r="N155" s="157">
        <v>71.254674</v>
      </c>
      <c r="O155" s="157">
        <v>81.790544</v>
      </c>
      <c r="P155" s="157">
        <v>87.375468</v>
      </c>
      <c r="Q155" s="157">
        <v>90.60952099999999</v>
      </c>
      <c r="R155" s="157">
        <v>78.46092349999999</v>
      </c>
      <c r="S155" s="157">
        <v>90.717938</v>
      </c>
      <c r="T155" s="157">
        <v>74.412948</v>
      </c>
      <c r="U155" s="157">
        <v>77.006996</v>
      </c>
      <c r="V155" s="428"/>
      <c r="W155" s="289"/>
      <c r="X155" s="211"/>
      <c r="Y155" s="211"/>
      <c r="Z155" s="220"/>
      <c r="AA155" s="220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574"/>
    </row>
    <row r="156" spans="1:43" ht="15">
      <c r="A156" s="116" t="s">
        <v>128</v>
      </c>
      <c r="B156" s="116" t="s">
        <v>76</v>
      </c>
      <c r="C156" s="222">
        <v>141.544</v>
      </c>
      <c r="D156" s="222">
        <f>137.735+11.237</f>
        <v>148.972</v>
      </c>
      <c r="E156" s="222">
        <f>'пр-во '!L20</f>
        <v>183.91377</v>
      </c>
      <c r="F156" s="222">
        <f>'пр-во '!L7</f>
        <v>193.302345</v>
      </c>
      <c r="G156" s="222">
        <v>126.14411</v>
      </c>
      <c r="H156" s="222">
        <v>132.3</v>
      </c>
      <c r="I156" s="157">
        <f>78.529725+65.798</f>
        <v>144.327725</v>
      </c>
      <c r="J156" s="157">
        <f>72.27021+66.852</f>
        <v>139.12221</v>
      </c>
      <c r="K156" s="157">
        <v>130.46218</v>
      </c>
      <c r="L156" s="157">
        <v>143.7</v>
      </c>
      <c r="M156" s="157">
        <v>168.196481</v>
      </c>
      <c r="N156" s="157">
        <v>143.46135</v>
      </c>
      <c r="O156" s="157">
        <v>162.498476</v>
      </c>
      <c r="P156" s="157">
        <v>174.40022499999998</v>
      </c>
      <c r="Q156" s="157">
        <v>172.984899</v>
      </c>
      <c r="R156" s="157">
        <v>150.781834</v>
      </c>
      <c r="S156" s="157">
        <v>169.48739</v>
      </c>
      <c r="T156" s="157">
        <v>133.42643</v>
      </c>
      <c r="U156" s="157">
        <v>135.06980000000001</v>
      </c>
      <c r="V156" s="428">
        <f>U156/T156-1</f>
        <v>0.012316675189465887</v>
      </c>
      <c r="W156" s="69"/>
      <c r="X156" s="211">
        <v>42.261</v>
      </c>
      <c r="Y156" s="211">
        <v>40.224265</v>
      </c>
      <c r="Z156" s="211">
        <f>'отгр.  2008'!L21</f>
        <v>30.37517</v>
      </c>
      <c r="AA156" s="211">
        <f>'отгр.  2008'!L7</f>
        <v>18.797185</v>
      </c>
      <c r="AB156" s="242">
        <v>9.65375</v>
      </c>
      <c r="AC156" s="242">
        <v>13.5</v>
      </c>
      <c r="AD156" s="242">
        <f>10.234</f>
        <v>10.234</v>
      </c>
      <c r="AE156" s="242">
        <f>9.42627</f>
        <v>9.42627</v>
      </c>
      <c r="AF156" s="242">
        <v>8.07244</v>
      </c>
      <c r="AG156" s="242">
        <v>8.9</v>
      </c>
      <c r="AH156" s="242">
        <v>19.698480999999983</v>
      </c>
      <c r="AI156" s="242">
        <v>16.26295</v>
      </c>
      <c r="AJ156" s="242">
        <v>24.372598</v>
      </c>
      <c r="AK156" s="242">
        <v>24.301503</v>
      </c>
      <c r="AL156" s="242">
        <v>17.577818999999998</v>
      </c>
      <c r="AM156" s="242">
        <v>19.519384</v>
      </c>
      <c r="AN156" s="242">
        <v>20.19272</v>
      </c>
      <c r="AO156" s="242">
        <v>17.42503</v>
      </c>
      <c r="AP156" s="242">
        <v>15.403800000000002</v>
      </c>
      <c r="AQ156" s="575">
        <f>AP156/AO156-1</f>
        <v>-0.11599578307756131</v>
      </c>
    </row>
    <row r="157" spans="1:43" s="129" customFormat="1" ht="15">
      <c r="A157" s="100" t="s">
        <v>99</v>
      </c>
      <c r="B157" s="100" t="s">
        <v>93</v>
      </c>
      <c r="C157" s="222">
        <v>102</v>
      </c>
      <c r="D157" s="222">
        <v>108.4</v>
      </c>
      <c r="E157" s="217">
        <f>109.671+44.178</f>
        <v>153.849</v>
      </c>
      <c r="F157" s="217">
        <f>65.53+108.826</f>
        <v>174.356</v>
      </c>
      <c r="G157" s="227">
        <v>116.741</v>
      </c>
      <c r="H157" s="217">
        <v>118.7</v>
      </c>
      <c r="I157" s="157">
        <f>65.798+68.254</f>
        <v>134.05200000000002</v>
      </c>
      <c r="J157" s="157">
        <f>66.852+62.802</f>
        <v>129.654</v>
      </c>
      <c r="K157" s="157">
        <v>107.806</v>
      </c>
      <c r="L157" s="157">
        <v>134.9</v>
      </c>
      <c r="M157" s="157">
        <v>148.498</v>
      </c>
      <c r="N157" s="157">
        <v>126.991</v>
      </c>
      <c r="O157" s="157">
        <v>137.517</v>
      </c>
      <c r="P157" s="157">
        <v>150.751</v>
      </c>
      <c r="Q157" s="157">
        <v>155.1675</v>
      </c>
      <c r="R157" s="157">
        <v>131.0683</v>
      </c>
      <c r="S157" s="157">
        <v>149.56199999999998</v>
      </c>
      <c r="T157" s="157">
        <v>116.332</v>
      </c>
      <c r="U157" s="157">
        <v>119.285</v>
      </c>
      <c r="V157" s="428"/>
      <c r="W157" s="289"/>
      <c r="X157" s="211"/>
      <c r="Y157" s="211"/>
      <c r="Z157" s="220"/>
      <c r="AA157" s="220"/>
      <c r="AB157" s="242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574"/>
    </row>
    <row r="158" spans="1:43" ht="30" hidden="1">
      <c r="A158" s="116" t="s">
        <v>132</v>
      </c>
      <c r="B158" s="117" t="s">
        <v>78</v>
      </c>
      <c r="C158" s="222">
        <v>0</v>
      </c>
      <c r="D158" s="222">
        <v>3.391</v>
      </c>
      <c r="E158" s="222">
        <f>'пр-во '!M20</f>
        <v>5.694</v>
      </c>
      <c r="F158" s="222">
        <f>'пр-во '!M7</f>
        <v>0</v>
      </c>
      <c r="G158" s="222"/>
      <c r="H158" s="222">
        <v>0</v>
      </c>
      <c r="I158" s="157"/>
      <c r="J158" s="157"/>
      <c r="K158" s="157"/>
      <c r="L158" s="157">
        <v>0</v>
      </c>
      <c r="M158" s="157"/>
      <c r="N158" s="157"/>
      <c r="O158" s="157"/>
      <c r="P158" s="157"/>
      <c r="Q158" s="157"/>
      <c r="R158" s="157"/>
      <c r="S158" s="157"/>
      <c r="T158" s="157"/>
      <c r="U158" s="157"/>
      <c r="V158" s="428" t="e">
        <f>R158/Q158-1</f>
        <v>#DIV/0!</v>
      </c>
      <c r="W158" s="69"/>
      <c r="X158" s="211">
        <v>0</v>
      </c>
      <c r="Y158" s="211">
        <v>1.03734</v>
      </c>
      <c r="Z158" s="211">
        <v>0</v>
      </c>
      <c r="AA158" s="211">
        <f>'отгр.  2008'!M7</f>
        <v>0</v>
      </c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574" t="e">
        <f>AH158/AG158-1</f>
        <v>#DIV/0!</v>
      </c>
    </row>
    <row r="159" spans="1:43" s="129" customFormat="1" ht="15" hidden="1">
      <c r="A159" s="100" t="s">
        <v>99</v>
      </c>
      <c r="B159" s="100" t="s">
        <v>93</v>
      </c>
      <c r="C159" s="222"/>
      <c r="D159" s="222"/>
      <c r="E159" s="217">
        <v>5.694</v>
      </c>
      <c r="F159" s="217">
        <v>0</v>
      </c>
      <c r="G159" s="217"/>
      <c r="H159" s="217">
        <v>0</v>
      </c>
      <c r="I159" s="157"/>
      <c r="J159" s="157"/>
      <c r="K159" s="157"/>
      <c r="L159" s="157">
        <v>0</v>
      </c>
      <c r="M159" s="157"/>
      <c r="N159" s="157"/>
      <c r="O159" s="157"/>
      <c r="P159" s="157"/>
      <c r="Q159" s="157"/>
      <c r="R159" s="157"/>
      <c r="S159" s="157"/>
      <c r="T159" s="157"/>
      <c r="U159" s="157"/>
      <c r="V159" s="428" t="e">
        <f>R159/Q159-1</f>
        <v>#DIV/0!</v>
      </c>
      <c r="W159" s="289"/>
      <c r="X159" s="211"/>
      <c r="Y159" s="211"/>
      <c r="Z159" s="220"/>
      <c r="AA159" s="220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574" t="e">
        <f>AH159/AG159-1</f>
        <v>#DIV/0!</v>
      </c>
    </row>
    <row r="160" spans="1:43" ht="30">
      <c r="A160" s="116" t="s">
        <v>132</v>
      </c>
      <c r="B160" s="116" t="s">
        <v>129</v>
      </c>
      <c r="C160" s="222">
        <f>91.085+20.673+8.39</f>
        <v>120.148</v>
      </c>
      <c r="D160" s="222">
        <f>134.863</f>
        <v>134.863</v>
      </c>
      <c r="E160" s="222">
        <f>'пр-во '!N20</f>
        <v>202.977972</v>
      </c>
      <c r="F160" s="222">
        <f>'пр-во '!N7</f>
        <v>220.591159</v>
      </c>
      <c r="G160" s="222">
        <v>152.485842</v>
      </c>
      <c r="H160" s="222">
        <v>157</v>
      </c>
      <c r="I160" s="157">
        <v>176.5</v>
      </c>
      <c r="J160" s="157">
        <v>170.182136</v>
      </c>
      <c r="K160" s="157">
        <v>164.132757</v>
      </c>
      <c r="L160" s="157">
        <v>174.4</v>
      </c>
      <c r="M160" s="157">
        <v>187.814425</v>
      </c>
      <c r="N160" s="157">
        <v>162.308181</v>
      </c>
      <c r="O160" s="157">
        <v>180.594225</v>
      </c>
      <c r="P160" s="157">
        <v>193.15497200000001</v>
      </c>
      <c r="Q160" s="157">
        <v>206.18991</v>
      </c>
      <c r="R160" s="157">
        <v>174.336614</v>
      </c>
      <c r="S160" s="157">
        <v>199.18667000000002</v>
      </c>
      <c r="T160" s="157">
        <v>159.14075499999998</v>
      </c>
      <c r="U160" s="157">
        <v>163.583115</v>
      </c>
      <c r="V160" s="428">
        <f>U160/T160-1</f>
        <v>0.02791465957290451</v>
      </c>
      <c r="W160" s="69"/>
      <c r="X160" s="211">
        <f>90.49+20.673+6.935</f>
        <v>118.098</v>
      </c>
      <c r="Y160" s="211">
        <v>133.43843</v>
      </c>
      <c r="Z160" s="211">
        <f>'отгр.  2008'!N21</f>
        <v>202.595722</v>
      </c>
      <c r="AA160" s="211">
        <f>'отгр.  2008'!N7</f>
        <v>218.895999</v>
      </c>
      <c r="AB160" s="242">
        <v>152.327322</v>
      </c>
      <c r="AC160" s="242">
        <v>155.7</v>
      </c>
      <c r="AD160" s="242">
        <f>36.486+108.53+22.197+0.096+2.688+0.259+5.032</f>
        <v>175.28799999999998</v>
      </c>
      <c r="AE160" s="242">
        <f>170.017596</f>
        <v>170.017596</v>
      </c>
      <c r="AF160" s="242">
        <v>163.56</v>
      </c>
      <c r="AG160" s="242">
        <v>173.7</v>
      </c>
      <c r="AH160" s="242">
        <v>186.49772300000032</v>
      </c>
      <c r="AI160" s="242">
        <v>160.832503</v>
      </c>
      <c r="AJ160" s="242">
        <v>178.956726</v>
      </c>
      <c r="AK160" s="242">
        <v>191.59484200000003</v>
      </c>
      <c r="AL160" s="242">
        <v>204.19301099999998</v>
      </c>
      <c r="AM160" s="242">
        <v>171.407095</v>
      </c>
      <c r="AN160" s="242">
        <v>192.84247000000002</v>
      </c>
      <c r="AO160" s="242">
        <v>151.41905500000001</v>
      </c>
      <c r="AP160" s="242">
        <v>154.102115</v>
      </c>
      <c r="AQ160" s="575">
        <f>AP160/AO160-1</f>
        <v>0.017719434320865313</v>
      </c>
    </row>
    <row r="161" spans="1:43" s="129" customFormat="1" ht="15">
      <c r="A161" s="100" t="s">
        <v>99</v>
      </c>
      <c r="B161" s="100" t="s">
        <v>93</v>
      </c>
      <c r="C161" s="222"/>
      <c r="D161" s="222"/>
      <c r="E161" s="217"/>
      <c r="F161" s="217"/>
      <c r="G161" s="217">
        <v>0.8811</v>
      </c>
      <c r="H161" s="217">
        <v>0.7</v>
      </c>
      <c r="I161" s="157">
        <v>0.8</v>
      </c>
      <c r="J161" s="157">
        <v>0.9018</v>
      </c>
      <c r="K161" s="157">
        <v>1.081</v>
      </c>
      <c r="L161" s="157">
        <v>0.9</v>
      </c>
      <c r="M161" s="157">
        <v>1.034</v>
      </c>
      <c r="N161" s="157">
        <v>1.2292</v>
      </c>
      <c r="O161" s="157">
        <v>1.6144</v>
      </c>
      <c r="P161" s="157">
        <v>1.122</v>
      </c>
      <c r="Q161" s="157">
        <v>2.0365</v>
      </c>
      <c r="R161" s="157">
        <v>3.613</v>
      </c>
      <c r="S161" s="157">
        <v>5.619999999999999</v>
      </c>
      <c r="T161" s="157">
        <v>8.2875</v>
      </c>
      <c r="U161" s="157">
        <v>8.493</v>
      </c>
      <c r="V161" s="428"/>
      <c r="W161" s="289"/>
      <c r="X161" s="211"/>
      <c r="Y161" s="211"/>
      <c r="Z161" s="220"/>
      <c r="AA161" s="220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574"/>
    </row>
    <row r="162" spans="1:43" ht="31.5">
      <c r="A162" s="70" t="s">
        <v>127</v>
      </c>
      <c r="B162" s="70" t="s">
        <v>130</v>
      </c>
      <c r="C162" s="144">
        <f>C164+C167+C168+C170+C172</f>
        <v>463.588</v>
      </c>
      <c r="D162" s="144">
        <f>D164+D167+D168+D170+D172</f>
        <v>534.2431</v>
      </c>
      <c r="E162" s="144">
        <f>E164+E167+E168+E170+E172</f>
        <v>514.43000558</v>
      </c>
      <c r="F162" s="144">
        <f>F164+F167+F168+F170+F172</f>
        <v>591.20117693</v>
      </c>
      <c r="G162" s="144">
        <v>534.03669</v>
      </c>
      <c r="H162" s="144">
        <f>H164+H167+H168+H170+H172</f>
        <v>530.6427812</v>
      </c>
      <c r="I162" s="144">
        <f>I164+I167+I168+I170+I172</f>
        <v>581.0103355</v>
      </c>
      <c r="J162" s="144">
        <f>J164+J167+J168+J170+J172</f>
        <v>556.0802141</v>
      </c>
      <c r="K162" s="144">
        <f>K164+K167+K168+K170+K172</f>
        <v>500.8717300999999</v>
      </c>
      <c r="L162" s="144">
        <f aca="true" t="shared" si="194" ref="L162:R162">L164+L167+L168+L170+L172+L165</f>
        <v>618.3</v>
      </c>
      <c r="M162" s="144">
        <f t="shared" si="194"/>
        <v>703.1966872999961</v>
      </c>
      <c r="N162" s="144">
        <f t="shared" si="194"/>
        <v>624.2890408</v>
      </c>
      <c r="O162" s="144">
        <f t="shared" si="194"/>
        <v>645.6912569000001</v>
      </c>
      <c r="P162" s="144">
        <f t="shared" si="194"/>
        <v>725.2894368</v>
      </c>
      <c r="Q162" s="144">
        <f t="shared" si="194"/>
        <v>755.4883769399999</v>
      </c>
      <c r="R162" s="144">
        <f t="shared" si="194"/>
        <v>900.1598174699999</v>
      </c>
      <c r="S162" s="144">
        <f>S164+S167+S168+S170+S172+S165</f>
        <v>1070.8621319791778</v>
      </c>
      <c r="T162" s="144">
        <f>T164+T167+T168+T170+T172+T165+T166</f>
        <v>807.8956697366752</v>
      </c>
      <c r="U162" s="144">
        <f>U164+U167+U168+U170+U172+U165+U166</f>
        <v>892.6033993193985</v>
      </c>
      <c r="V162" s="443">
        <f>U162/T162-1</f>
        <v>0.10484983736864528</v>
      </c>
      <c r="W162" s="288"/>
      <c r="X162" s="213">
        <f>X164+X167+X168+X170+X172</f>
        <v>460.77299999999997</v>
      </c>
      <c r="Y162" s="213">
        <f>Y164+Y167+Y168+Y170+Y172</f>
        <v>531.23117</v>
      </c>
      <c r="Z162" s="213">
        <f>Z164+Z167+Z168+Z170+Z172</f>
        <v>519.8521411</v>
      </c>
      <c r="AA162" s="213">
        <f>AA164+AA167+AA168+AA170+AA172</f>
        <v>587.8469797</v>
      </c>
      <c r="AB162" s="238">
        <v>529.2140945</v>
      </c>
      <c r="AC162" s="213">
        <f aca="true" t="shared" si="195" ref="AC162:AH162">AC164+AC167+AC168+AC170+AC172</f>
        <v>530.7</v>
      </c>
      <c r="AD162" s="213">
        <f t="shared" si="195"/>
        <v>580.9929999999999</v>
      </c>
      <c r="AE162" s="213">
        <f t="shared" si="195"/>
        <v>555.80537118</v>
      </c>
      <c r="AF162" s="213">
        <f t="shared" si="195"/>
        <v>497.90552699999995</v>
      </c>
      <c r="AG162" s="213">
        <f t="shared" si="195"/>
        <v>616.2</v>
      </c>
      <c r="AH162" s="213">
        <f t="shared" si="195"/>
        <v>668.5062183999961</v>
      </c>
      <c r="AI162" s="213">
        <f aca="true" t="shared" si="196" ref="AI162:AN162">AI164+AI165+AI167+AI168+AI170+AI172</f>
        <v>626.2323039</v>
      </c>
      <c r="AJ162" s="213">
        <f t="shared" si="196"/>
        <v>643.5616069</v>
      </c>
      <c r="AK162" s="213">
        <f t="shared" si="196"/>
        <v>727.1257769</v>
      </c>
      <c r="AL162" s="213">
        <f t="shared" si="196"/>
        <v>753.3341398399999</v>
      </c>
      <c r="AM162" s="213">
        <f t="shared" si="196"/>
        <v>899.0929298000001</v>
      </c>
      <c r="AN162" s="213">
        <f t="shared" si="196"/>
        <v>1061.9236736</v>
      </c>
      <c r="AO162" s="213">
        <f>AO164+AO165+AO166+AO167+AO168+AO170+AO172</f>
        <v>770.3326073</v>
      </c>
      <c r="AP162" s="213">
        <f>AP164+AP165+AP166+AP167+AP168+AP170+AP172</f>
        <v>910.5655752</v>
      </c>
      <c r="AQ162" s="573">
        <f>AP162/AO162-1</f>
        <v>0.18204210307481827</v>
      </c>
    </row>
    <row r="163" spans="1:43" s="129" customFormat="1" ht="15">
      <c r="A163" s="100" t="s">
        <v>99</v>
      </c>
      <c r="B163" s="100" t="s">
        <v>93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>
        <f aca="true" t="shared" si="197" ref="N163:U163">N169+N171</f>
        <v>0.10280030000000001</v>
      </c>
      <c r="O163" s="217">
        <f t="shared" si="197"/>
        <v>0.1450999</v>
      </c>
      <c r="P163" s="217">
        <f t="shared" si="197"/>
        <v>0.119946</v>
      </c>
      <c r="Q163" s="217">
        <f t="shared" si="197"/>
        <v>0.09069790000000001</v>
      </c>
      <c r="R163" s="217">
        <f t="shared" si="197"/>
        <v>0.10127127</v>
      </c>
      <c r="S163" s="217">
        <f t="shared" si="197"/>
        <v>0.03900037917759999</v>
      </c>
      <c r="T163" s="217">
        <f t="shared" si="197"/>
        <v>0.023287032704</v>
      </c>
      <c r="U163" s="217">
        <f t="shared" si="197"/>
        <v>0.022708423696</v>
      </c>
      <c r="V163" s="428"/>
      <c r="W163" s="289"/>
      <c r="X163" s="220"/>
      <c r="Y163" s="220"/>
      <c r="Z163" s="220"/>
      <c r="AA163" s="220"/>
      <c r="AB163" s="24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574"/>
    </row>
    <row r="164" spans="1:43" ht="30">
      <c r="A164" s="130" t="s">
        <v>131</v>
      </c>
      <c r="B164" s="116" t="s">
        <v>82</v>
      </c>
      <c r="C164" s="222">
        <f>16.695+142.217+0.939</f>
        <v>159.851</v>
      </c>
      <c r="D164" s="222">
        <f>7.863+123.845+1.303</f>
        <v>133.011</v>
      </c>
      <c r="E164" s="222">
        <f>'пр-во '!O20</f>
        <v>139.20367500000003</v>
      </c>
      <c r="F164" s="222">
        <f>'пр-во '!O7</f>
        <v>211.772</v>
      </c>
      <c r="G164" s="222">
        <v>176.61390500000002</v>
      </c>
      <c r="H164" s="222">
        <v>179.84229</v>
      </c>
      <c r="I164" s="222">
        <v>240.841009</v>
      </c>
      <c r="J164" s="222">
        <v>232.5</v>
      </c>
      <c r="K164" s="222">
        <v>225</v>
      </c>
      <c r="L164" s="222">
        <v>216.7</v>
      </c>
      <c r="M164" s="222">
        <v>254.53209500000003</v>
      </c>
      <c r="N164" s="222">
        <v>167.204405</v>
      </c>
      <c r="O164" s="222">
        <v>129.78102</v>
      </c>
      <c r="P164" s="222">
        <v>157.44888</v>
      </c>
      <c r="Q164" s="222">
        <v>181.49693</v>
      </c>
      <c r="R164" s="222">
        <v>298.921035</v>
      </c>
      <c r="S164" s="222">
        <v>433.64775000000003</v>
      </c>
      <c r="T164" s="222">
        <v>259.67763799999994</v>
      </c>
      <c r="U164" s="222">
        <v>358.83209999999997</v>
      </c>
      <c r="V164" s="428">
        <f>U164/T164-1</f>
        <v>0.38183673713175126</v>
      </c>
      <c r="W164" s="69"/>
      <c r="X164" s="211">
        <v>156.999</v>
      </c>
      <c r="Y164" s="211">
        <v>130.0258</v>
      </c>
      <c r="Z164" s="211">
        <f>'отгр.  2008'!O21</f>
        <v>144.576075</v>
      </c>
      <c r="AA164" s="211">
        <f>'отгр.  2008'!O7</f>
        <v>208.518055</v>
      </c>
      <c r="AB164" s="242">
        <v>180.287905</v>
      </c>
      <c r="AC164" s="242">
        <v>179.9</v>
      </c>
      <c r="AD164" s="242">
        <v>240.668</v>
      </c>
      <c r="AE164" s="242">
        <f>142.258255+89.96925</f>
        <v>232.227505</v>
      </c>
      <c r="AF164" s="242">
        <v>222.133605</v>
      </c>
      <c r="AG164" s="242">
        <v>214.4</v>
      </c>
      <c r="AH164" s="242">
        <v>258.4821</v>
      </c>
      <c r="AI164" s="242">
        <v>169.155405</v>
      </c>
      <c r="AJ164" s="242">
        <v>129.023895</v>
      </c>
      <c r="AK164" s="242">
        <v>158.21208</v>
      </c>
      <c r="AL164" s="242">
        <v>179.88618</v>
      </c>
      <c r="AM164" s="242">
        <v>297.35698500000007</v>
      </c>
      <c r="AN164" s="242">
        <v>430.26032999999995</v>
      </c>
      <c r="AO164" s="242">
        <v>220.891628</v>
      </c>
      <c r="AP164" s="242">
        <v>380.676777</v>
      </c>
      <c r="AQ164" s="575">
        <f>AP164/AO164-1</f>
        <v>0.7233644409556348</v>
      </c>
    </row>
    <row r="165" spans="1:43" ht="15">
      <c r="A165" s="130" t="s">
        <v>242</v>
      </c>
      <c r="B165" s="116" t="s">
        <v>241</v>
      </c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>
        <v>38.4</v>
      </c>
      <c r="N165" s="222">
        <v>60.11924</v>
      </c>
      <c r="O165" s="222">
        <v>71.50765</v>
      </c>
      <c r="P165" s="222">
        <v>119.01540000000001</v>
      </c>
      <c r="Q165" s="222">
        <v>131.30390754</v>
      </c>
      <c r="R165" s="222">
        <v>139.64968</v>
      </c>
      <c r="S165" s="222">
        <v>170.4513</v>
      </c>
      <c r="T165" s="222">
        <v>83.66887000000001</v>
      </c>
      <c r="U165" s="222">
        <v>74.78829999999999</v>
      </c>
      <c r="V165" s="428">
        <f>U165/T165-1</f>
        <v>-0.10613947576918414</v>
      </c>
      <c r="W165" s="69"/>
      <c r="X165" s="211"/>
      <c r="Y165" s="211"/>
      <c r="Z165" s="211"/>
      <c r="AA165" s="211"/>
      <c r="AB165" s="242"/>
      <c r="AC165" s="242"/>
      <c r="AD165" s="242"/>
      <c r="AE165" s="242"/>
      <c r="AF165" s="242"/>
      <c r="AG165" s="242"/>
      <c r="AH165" s="242">
        <v>38.5</v>
      </c>
      <c r="AI165" s="242">
        <v>60.12524</v>
      </c>
      <c r="AJ165" s="242">
        <v>70.31365</v>
      </c>
      <c r="AK165" s="242">
        <v>120.18060000000001</v>
      </c>
      <c r="AL165" s="242">
        <v>130.89830754</v>
      </c>
      <c r="AM165" s="242">
        <v>140.10368</v>
      </c>
      <c r="AN165" s="242">
        <v>165.4417</v>
      </c>
      <c r="AO165" s="242">
        <v>84.84647</v>
      </c>
      <c r="AP165" s="242">
        <v>70.9355</v>
      </c>
      <c r="AQ165" s="575">
        <f>AP165/AO165-1</f>
        <v>-0.16395461119360644</v>
      </c>
    </row>
    <row r="166" spans="1:43" ht="30">
      <c r="A166" s="116" t="s">
        <v>287</v>
      </c>
      <c r="B166" s="116" t="s">
        <v>288</v>
      </c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>
        <v>3.86</v>
      </c>
      <c r="U166" s="222">
        <v>10.719</v>
      </c>
      <c r="V166" s="428">
        <f>U166/T166-1</f>
        <v>1.776943005181347</v>
      </c>
      <c r="W166" s="69"/>
      <c r="X166" s="211"/>
      <c r="Y166" s="211"/>
      <c r="Z166" s="211"/>
      <c r="AA166" s="211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>
        <v>3.792</v>
      </c>
      <c r="AP166" s="242">
        <v>10.786999999999999</v>
      </c>
      <c r="AQ166" s="575">
        <f>AP166/AO166-1</f>
        <v>1.8446729957805905</v>
      </c>
    </row>
    <row r="167" spans="1:43" ht="15">
      <c r="A167" s="117" t="s">
        <v>83</v>
      </c>
      <c r="B167" s="116" t="s">
        <v>19</v>
      </c>
      <c r="C167" s="222">
        <v>276.694</v>
      </c>
      <c r="D167" s="222">
        <v>372.7221</v>
      </c>
      <c r="E167" s="222">
        <v>345.14023</v>
      </c>
      <c r="F167" s="222">
        <v>353.321535</v>
      </c>
      <c r="G167" s="222">
        <v>328.70241</v>
      </c>
      <c r="H167" s="222">
        <v>327.08119</v>
      </c>
      <c r="I167" s="222">
        <v>314.393</v>
      </c>
      <c r="J167" s="222">
        <v>297.2</v>
      </c>
      <c r="K167" s="222">
        <v>250.99551499999998</v>
      </c>
      <c r="L167" s="222">
        <v>373.1</v>
      </c>
      <c r="M167" s="222">
        <v>381.52449999999607</v>
      </c>
      <c r="N167" s="222">
        <v>365.11824</v>
      </c>
      <c r="O167" s="222">
        <v>414.652443</v>
      </c>
      <c r="P167" s="222">
        <v>417.272624</v>
      </c>
      <c r="Q167" s="222">
        <v>411.876735</v>
      </c>
      <c r="R167" s="222">
        <v>432.68086600000004</v>
      </c>
      <c r="S167" s="222">
        <v>437.86518</v>
      </c>
      <c r="T167" s="222">
        <v>432.53013</v>
      </c>
      <c r="U167" s="222">
        <v>421.46606999999995</v>
      </c>
      <c r="V167" s="428">
        <f>U167/T167-1</f>
        <v>-0.025579859604231592</v>
      </c>
      <c r="W167" s="69"/>
      <c r="X167" s="211">
        <v>276.694</v>
      </c>
      <c r="Y167" s="211">
        <v>372.7221</v>
      </c>
      <c r="Z167" s="211">
        <f>'отгр.  2008'!R21</f>
        <v>345.14023</v>
      </c>
      <c r="AA167" s="211">
        <f>'отгр.  2008'!R7</f>
        <v>353.321535</v>
      </c>
      <c r="AB167" s="242">
        <v>328.70241</v>
      </c>
      <c r="AC167" s="242">
        <v>327</v>
      </c>
      <c r="AD167" s="242">
        <v>314.393</v>
      </c>
      <c r="AE167" s="242">
        <v>297.2</v>
      </c>
      <c r="AF167" s="242">
        <v>250.99551499999998</v>
      </c>
      <c r="AG167" s="242">
        <v>373.1</v>
      </c>
      <c r="AH167" s="242">
        <v>381.52449999999607</v>
      </c>
      <c r="AI167" s="242">
        <v>365.11824</v>
      </c>
      <c r="AJ167" s="242">
        <v>414.652443</v>
      </c>
      <c r="AK167" s="242">
        <v>417.272624</v>
      </c>
      <c r="AL167" s="242">
        <v>411.876735</v>
      </c>
      <c r="AM167" s="242">
        <v>432.750136</v>
      </c>
      <c r="AN167" s="242">
        <v>437.48518</v>
      </c>
      <c r="AO167" s="242">
        <v>432.53013</v>
      </c>
      <c r="AP167" s="242">
        <v>421.46607</v>
      </c>
      <c r="AQ167" s="575">
        <f>AP167/AO167-1</f>
        <v>-0.02557985960423148</v>
      </c>
    </row>
    <row r="168" spans="1:43" ht="15">
      <c r="A168" s="117" t="s">
        <v>84</v>
      </c>
      <c r="B168" s="117" t="s">
        <v>85</v>
      </c>
      <c r="C168" s="222">
        <v>20.455</v>
      </c>
      <c r="D168" s="222">
        <v>22.135</v>
      </c>
      <c r="E168" s="222">
        <f>'пр-во '!T20</f>
        <v>23.251956</v>
      </c>
      <c r="F168" s="222">
        <f>'пр-во '!T7</f>
        <v>19.615869999999997</v>
      </c>
      <c r="G168" s="222">
        <v>14.295023</v>
      </c>
      <c r="H168" s="222">
        <v>17.036877</v>
      </c>
      <c r="I168" s="222">
        <v>18.546626</v>
      </c>
      <c r="J168" s="222">
        <f>19.37987</f>
        <v>19.37987</v>
      </c>
      <c r="K168" s="222">
        <v>18.3404</v>
      </c>
      <c r="L168" s="222">
        <v>21.9</v>
      </c>
      <c r="M168" s="222">
        <v>22.894270999999996</v>
      </c>
      <c r="N168" s="222">
        <v>25.52391</v>
      </c>
      <c r="O168" s="222">
        <v>23.466122000000002</v>
      </c>
      <c r="P168" s="222">
        <v>24.070209000000002</v>
      </c>
      <c r="Q168" s="222">
        <v>23.655895</v>
      </c>
      <c r="R168" s="222">
        <v>22.117305369999997</v>
      </c>
      <c r="S168" s="222">
        <v>22.2648600791776</v>
      </c>
      <c r="T168" s="222">
        <v>21.825150136675198</v>
      </c>
      <c r="U168" s="222">
        <v>20.4756815193984</v>
      </c>
      <c r="V168" s="428">
        <f>U168/T168-1</f>
        <v>-0.06183089732835967</v>
      </c>
      <c r="W168" s="69"/>
      <c r="X168" s="211">
        <v>20.476</v>
      </c>
      <c r="Y168" s="211">
        <v>22.08327</v>
      </c>
      <c r="Z168" s="211">
        <f>'отгр.  2008'!T21</f>
        <v>23.345153</v>
      </c>
      <c r="AA168" s="211">
        <f>'отгр.  2008'!T7</f>
        <v>19.555658</v>
      </c>
      <c r="AB168" s="242">
        <v>14.314583</v>
      </c>
      <c r="AC168" s="242">
        <v>17.1</v>
      </c>
      <c r="AD168" s="242">
        <v>18.673</v>
      </c>
      <c r="AE168" s="242">
        <v>19.38357</v>
      </c>
      <c r="AF168" s="242">
        <v>18.332015</v>
      </c>
      <c r="AG168" s="242">
        <v>22</v>
      </c>
      <c r="AH168" s="242">
        <v>22.742745999999983</v>
      </c>
      <c r="AI168" s="242">
        <v>25.479367</v>
      </c>
      <c r="AJ168" s="242">
        <v>23.331974</v>
      </c>
      <c r="AK168" s="242">
        <v>23.972289999999997</v>
      </c>
      <c r="AL168" s="242">
        <v>23.59255</v>
      </c>
      <c r="AM168" s="242">
        <v>22.03101</v>
      </c>
      <c r="AN168" s="242">
        <v>22.139699999999998</v>
      </c>
      <c r="AO168" s="242">
        <v>21.939817000000005</v>
      </c>
      <c r="AP168" s="242">
        <v>20.376651000000003</v>
      </c>
      <c r="AQ168" s="575">
        <f>AP168/AO168-1</f>
        <v>-0.07124790512154233</v>
      </c>
    </row>
    <row r="169" spans="1:43" ht="15">
      <c r="A169" s="100" t="s">
        <v>99</v>
      </c>
      <c r="B169" s="100" t="s">
        <v>93</v>
      </c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17">
        <v>0.0835</v>
      </c>
      <c r="O169" s="217">
        <v>0.1326</v>
      </c>
      <c r="P169" s="217">
        <v>0.10936</v>
      </c>
      <c r="Q169" s="217">
        <v>0.07664000000000001</v>
      </c>
      <c r="R169" s="217">
        <v>0.08057537</v>
      </c>
      <c r="S169" s="217">
        <v>0.021148079177599997</v>
      </c>
      <c r="T169" s="217">
        <v>0.006574132704</v>
      </c>
      <c r="U169" s="217">
        <v>0.008764523696</v>
      </c>
      <c r="V169" s="428"/>
      <c r="W169" s="69"/>
      <c r="X169" s="211"/>
      <c r="Y169" s="211"/>
      <c r="Z169" s="211"/>
      <c r="AA169" s="211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574"/>
    </row>
    <row r="170" spans="1:43" ht="15">
      <c r="A170" s="117" t="s">
        <v>86</v>
      </c>
      <c r="B170" s="117" t="s">
        <v>87</v>
      </c>
      <c r="C170" s="222">
        <v>6.588</v>
      </c>
      <c r="D170" s="222">
        <v>6.375</v>
      </c>
      <c r="E170" s="222">
        <f>'пр-во '!P20</f>
        <v>6.834144580000001</v>
      </c>
      <c r="F170" s="222">
        <f>'пр-во '!P7</f>
        <v>6.49177193</v>
      </c>
      <c r="G170" s="222">
        <v>5.901762</v>
      </c>
      <c r="H170" s="222">
        <v>6.6779162</v>
      </c>
      <c r="I170" s="222">
        <v>7.2297005</v>
      </c>
      <c r="J170" s="222">
        <f>7.0003441</f>
        <v>7.0003441</v>
      </c>
      <c r="K170" s="222">
        <v>6.5358151</v>
      </c>
      <c r="L170" s="222">
        <v>6.6</v>
      </c>
      <c r="M170" s="222">
        <v>5.8458213</v>
      </c>
      <c r="N170" s="222">
        <v>6.3232458</v>
      </c>
      <c r="O170" s="222">
        <v>6.284021900000001</v>
      </c>
      <c r="P170" s="222">
        <v>7.482323800000001</v>
      </c>
      <c r="Q170" s="222">
        <v>7.1549094</v>
      </c>
      <c r="R170" s="222">
        <v>6.790931100000001</v>
      </c>
      <c r="S170" s="222">
        <v>6.633041900000001</v>
      </c>
      <c r="T170" s="222">
        <v>6.3338816</v>
      </c>
      <c r="U170" s="222">
        <v>6.3222478</v>
      </c>
      <c r="V170" s="428">
        <f>U170/T170-1</f>
        <v>-0.001836756784338922</v>
      </c>
      <c r="W170" s="69"/>
      <c r="X170" s="211">
        <v>6.604</v>
      </c>
      <c r="Y170" s="211">
        <v>6.4</v>
      </c>
      <c r="Z170" s="211">
        <f>'отгр.  2008'!P21</f>
        <v>6.7906831</v>
      </c>
      <c r="AA170" s="211">
        <f>'отгр.  2008'!P7</f>
        <v>6.4517317</v>
      </c>
      <c r="AB170" s="242">
        <v>5.9091965</v>
      </c>
      <c r="AC170" s="242">
        <v>6.7</v>
      </c>
      <c r="AD170" s="242">
        <v>7.259</v>
      </c>
      <c r="AE170" s="242">
        <v>6.99429618</v>
      </c>
      <c r="AF170" s="242">
        <v>6.444392000000001</v>
      </c>
      <c r="AG170" s="242">
        <v>6.7</v>
      </c>
      <c r="AH170" s="242">
        <v>5.756872399999999</v>
      </c>
      <c r="AI170" s="242">
        <v>6.3540519</v>
      </c>
      <c r="AJ170" s="242">
        <v>6.2396449</v>
      </c>
      <c r="AK170" s="242">
        <v>7.4881829</v>
      </c>
      <c r="AL170" s="242">
        <v>7.0803673</v>
      </c>
      <c r="AM170" s="242">
        <v>6.8511188</v>
      </c>
      <c r="AN170" s="242">
        <v>6.5967636</v>
      </c>
      <c r="AO170" s="242">
        <v>6.332562299999999</v>
      </c>
      <c r="AP170" s="242">
        <v>6.323577199999999</v>
      </c>
      <c r="AQ170" s="575">
        <f>AP170/AO170-1</f>
        <v>-0.0014188727365540554</v>
      </c>
    </row>
    <row r="171" spans="1:43" s="129" customFormat="1" ht="15">
      <c r="A171" s="100" t="s">
        <v>99</v>
      </c>
      <c r="B171" s="100" t="s">
        <v>93</v>
      </c>
      <c r="C171" s="222"/>
      <c r="D171" s="222"/>
      <c r="E171" s="217">
        <v>0.0106787</v>
      </c>
      <c r="F171" s="217">
        <v>0.0099831</v>
      </c>
      <c r="G171" s="243">
        <v>0.005133</v>
      </c>
      <c r="H171" s="243">
        <v>0.004508</v>
      </c>
      <c r="I171" s="222"/>
      <c r="J171" s="222"/>
      <c r="K171" s="222">
        <v>0.0045995</v>
      </c>
      <c r="L171" s="222">
        <v>0.005</v>
      </c>
      <c r="M171" s="222">
        <v>0.024651437</v>
      </c>
      <c r="N171" s="222">
        <v>0.0193003</v>
      </c>
      <c r="O171" s="222">
        <v>0.0124999</v>
      </c>
      <c r="P171" s="222">
        <v>0.010586</v>
      </c>
      <c r="Q171" s="222">
        <v>0.0140579</v>
      </c>
      <c r="R171" s="222">
        <v>0.0206959</v>
      </c>
      <c r="S171" s="222">
        <v>0.017852299999999998</v>
      </c>
      <c r="T171" s="222">
        <v>0.0167129</v>
      </c>
      <c r="U171" s="222">
        <v>0.0139439</v>
      </c>
      <c r="V171" s="428"/>
      <c r="W171" s="289"/>
      <c r="X171" s="211"/>
      <c r="Y171" s="211"/>
      <c r="Z171" s="220"/>
      <c r="AA171" s="220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574"/>
    </row>
    <row r="172" spans="1:43" ht="15" hidden="1">
      <c r="A172" s="117" t="s">
        <v>88</v>
      </c>
      <c r="B172" s="117" t="s">
        <v>89</v>
      </c>
      <c r="C172" s="222"/>
      <c r="D172" s="222"/>
      <c r="E172" s="222"/>
      <c r="F172" s="222"/>
      <c r="G172" s="243"/>
      <c r="H172" s="243">
        <v>0.004508</v>
      </c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428" t="e">
        <f>R172/Q172-1</f>
        <v>#DIV/0!</v>
      </c>
      <c r="W172" s="69"/>
      <c r="X172" s="211"/>
      <c r="Y172" s="211"/>
      <c r="Z172" s="211"/>
      <c r="AA172" s="211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580" t="e">
        <f>AH172/AG172-1</f>
        <v>#DIV/0!</v>
      </c>
    </row>
    <row r="173" spans="1:43" ht="15.75">
      <c r="A173" s="98" t="s">
        <v>113</v>
      </c>
      <c r="B173" s="98" t="s">
        <v>112</v>
      </c>
      <c r="C173" s="291">
        <f aca="true" t="shared" si="198" ref="C173:H173">C132-C133+C134-C135+C146-C147+C152-C153+C162</f>
        <v>2927.925</v>
      </c>
      <c r="D173" s="291">
        <f t="shared" si="198"/>
        <v>3083.0961</v>
      </c>
      <c r="E173" s="291">
        <f t="shared" si="198"/>
        <v>3046.1609510799994</v>
      </c>
      <c r="F173" s="291">
        <f t="shared" si="198"/>
        <v>2987.5853589300004</v>
      </c>
      <c r="G173" s="291">
        <f t="shared" si="198"/>
        <v>3014.996201</v>
      </c>
      <c r="H173" s="291">
        <f t="shared" si="198"/>
        <v>3206.0427812</v>
      </c>
      <c r="I173" s="291">
        <f>I132-I133+I134-I135+I146-I147+I152-I153+I162</f>
        <v>3278.0074555</v>
      </c>
      <c r="J173" s="291">
        <f>J132-J133+J134-J135+J146-J147+J152-J153+J162</f>
        <v>3431.2651085999996</v>
      </c>
      <c r="K173" s="291">
        <f>K132-K133+K134-K135+K146-K147+K152-K153+K162</f>
        <v>3558.0974571000006</v>
      </c>
      <c r="L173" s="291">
        <f>L132-L133+L134-L135+L146-L147+L152-L153+L162</f>
        <v>3738.4000000000005</v>
      </c>
      <c r="M173" s="291">
        <f>M132-M133+M134-M135+M146-M147+M152-M153+M162</f>
        <v>3554.327374299996</v>
      </c>
      <c r="N173" s="291">
        <f aca="true" t="shared" si="199" ref="N173:U173">N132-N133+N134-N135+N146-N147+N152-N153+N162-N163</f>
        <v>4322.569027500001</v>
      </c>
      <c r="O173" s="291">
        <f t="shared" si="199"/>
        <v>4978.068444000001</v>
      </c>
      <c r="P173" s="291">
        <f t="shared" si="199"/>
        <v>5241.1836398000005</v>
      </c>
      <c r="Q173" s="291">
        <f t="shared" si="199"/>
        <v>5567.9833365</v>
      </c>
      <c r="R173" s="291">
        <f t="shared" si="199"/>
        <v>5514.329019700001</v>
      </c>
      <c r="S173" s="291">
        <f t="shared" si="199"/>
        <v>6007.5468046</v>
      </c>
      <c r="T173" s="291">
        <f t="shared" si="199"/>
        <v>5971.840724703972</v>
      </c>
      <c r="U173" s="291">
        <f t="shared" si="199"/>
        <v>5906.517169565704</v>
      </c>
      <c r="V173" s="443">
        <f>U173/T173-1</f>
        <v>-0.010938596347361051</v>
      </c>
      <c r="W173" s="67"/>
      <c r="X173" s="292">
        <f aca="true" t="shared" si="200" ref="X173:AD173">X132-X133+X134-X135+X146-X147+X152-X153+X162</f>
        <v>2852.38144</v>
      </c>
      <c r="Y173" s="292">
        <f t="shared" si="200"/>
        <v>3007.2365250000003</v>
      </c>
      <c r="Z173" s="292">
        <f t="shared" si="200"/>
        <v>3084.0257671</v>
      </c>
      <c r="AA173" s="292">
        <f t="shared" si="200"/>
        <v>2948.1955422</v>
      </c>
      <c r="AB173" s="292">
        <f t="shared" si="200"/>
        <v>3051.7453285</v>
      </c>
      <c r="AC173" s="292">
        <f t="shared" si="200"/>
        <v>3200</v>
      </c>
      <c r="AD173" s="292">
        <f t="shared" si="200"/>
        <v>3286.6400000000003</v>
      </c>
      <c r="AE173" s="292">
        <f aca="true" t="shared" si="201" ref="AE173:AK173">AE132-AE133+AE134-AE135+AE146-AE147+AE152-AE153+AE162</f>
        <v>3402.9533916799996</v>
      </c>
      <c r="AF173" s="292">
        <f t="shared" si="201"/>
        <v>3547.937967</v>
      </c>
      <c r="AG173" s="292">
        <f t="shared" si="201"/>
        <v>3752.2</v>
      </c>
      <c r="AH173" s="292">
        <f t="shared" si="201"/>
        <v>3502.229048899995</v>
      </c>
      <c r="AI173" s="292">
        <f t="shared" si="201"/>
        <v>4320.9181614</v>
      </c>
      <c r="AJ173" s="292">
        <f t="shared" si="201"/>
        <v>4949.3495564</v>
      </c>
      <c r="AK173" s="292">
        <f t="shared" si="201"/>
        <v>5206.8262359</v>
      </c>
      <c r="AL173" s="292">
        <f>AL132-AL133+AL134-AL135+AL146-AL147+AL152-AL153+AL162</f>
        <v>5555.115867839999</v>
      </c>
      <c r="AM173" s="292">
        <f>AM132-AM133+AM134-AM135+AM146-AM147+AM152-AM153+AM162</f>
        <v>5478.7264858</v>
      </c>
      <c r="AN173" s="292">
        <f>AN132-AN133+AN134-AN135+AN146-AN147+AN152-AN153+AN162</f>
        <v>5869.1262596</v>
      </c>
      <c r="AO173" s="292">
        <f>AO132-AO133+AO134-AO135+AO146-AO147+AO152-AO153+AO162</f>
        <v>5918.8994843</v>
      </c>
      <c r="AP173" s="292">
        <f>AP132-AP133+AP134-AP135+AP146-AP147+AP152-AP153+AP162</f>
        <v>5824.0673712</v>
      </c>
      <c r="AQ173" s="576">
        <f>AP173/AO173-1</f>
        <v>-0.016021916464630692</v>
      </c>
    </row>
    <row r="174" spans="1:27" ht="15">
      <c r="A174" s="497" t="s">
        <v>244</v>
      </c>
      <c r="B174" s="156" t="s">
        <v>245</v>
      </c>
      <c r="C174" s="210"/>
      <c r="D174" s="210"/>
      <c r="E174" s="210"/>
      <c r="F174" s="210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235"/>
      <c r="R174" s="235"/>
      <c r="S174" s="235"/>
      <c r="T174" s="235"/>
      <c r="U174" s="235"/>
      <c r="V174" s="210"/>
      <c r="W174" s="210"/>
      <c r="X174" s="210"/>
      <c r="Y174" s="210"/>
      <c r="Z174" s="210"/>
      <c r="AA174" s="210"/>
    </row>
    <row r="175" spans="1:42" ht="15.75">
      <c r="A175" s="174"/>
      <c r="B175" s="210"/>
      <c r="C175" s="69"/>
      <c r="D175" s="69"/>
      <c r="E175" s="69"/>
      <c r="F175" s="69"/>
      <c r="G175" s="69"/>
      <c r="H175" s="69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</row>
    <row r="176" spans="1:43" ht="15.75">
      <c r="A176" s="654" t="s">
        <v>96</v>
      </c>
      <c r="B176" s="654" t="s">
        <v>98</v>
      </c>
      <c r="C176" s="655" t="s">
        <v>52</v>
      </c>
      <c r="D176" s="655"/>
      <c r="E176" s="655"/>
      <c r="F176" s="655"/>
      <c r="G176" s="655"/>
      <c r="H176" s="655"/>
      <c r="I176" s="655"/>
      <c r="J176" s="655"/>
      <c r="K176" s="655"/>
      <c r="L176" s="655"/>
      <c r="M176" s="655"/>
      <c r="N176" s="655"/>
      <c r="O176" s="655"/>
      <c r="P176" s="655"/>
      <c r="Q176" s="655"/>
      <c r="R176" s="655"/>
      <c r="S176" s="655"/>
      <c r="T176" s="655"/>
      <c r="U176" s="655"/>
      <c r="V176" s="655"/>
      <c r="W176" s="210"/>
      <c r="X176" s="656" t="s">
        <v>177</v>
      </c>
      <c r="Y176" s="656"/>
      <c r="Z176" s="656"/>
      <c r="AA176" s="656"/>
      <c r="AB176" s="656"/>
      <c r="AC176" s="656"/>
      <c r="AD176" s="656"/>
      <c r="AE176" s="656"/>
      <c r="AF176" s="656"/>
      <c r="AG176" s="656"/>
      <c r="AH176" s="656"/>
      <c r="AI176" s="656"/>
      <c r="AJ176" s="656"/>
      <c r="AK176" s="656"/>
      <c r="AL176" s="656"/>
      <c r="AM176" s="656"/>
      <c r="AN176" s="656"/>
      <c r="AO176" s="656"/>
      <c r="AP176" s="656"/>
      <c r="AQ176" s="656"/>
    </row>
    <row r="177" spans="1:43" ht="15.75">
      <c r="A177" s="654"/>
      <c r="B177" s="654"/>
      <c r="C177" s="655" t="s">
        <v>54</v>
      </c>
      <c r="D177" s="655"/>
      <c r="E177" s="655"/>
      <c r="F177" s="655"/>
      <c r="G177" s="655"/>
      <c r="H177" s="655"/>
      <c r="I177" s="655"/>
      <c r="J177" s="655"/>
      <c r="K177" s="655"/>
      <c r="L177" s="655"/>
      <c r="M177" s="655"/>
      <c r="N177" s="655"/>
      <c r="O177" s="655"/>
      <c r="P177" s="655"/>
      <c r="Q177" s="655"/>
      <c r="R177" s="655"/>
      <c r="S177" s="655"/>
      <c r="T177" s="655"/>
      <c r="U177" s="655"/>
      <c r="V177" s="655"/>
      <c r="W177" s="210"/>
      <c r="X177" s="656" t="s">
        <v>178</v>
      </c>
      <c r="Y177" s="656"/>
      <c r="Z177" s="656"/>
      <c r="AA177" s="656"/>
      <c r="AB177" s="656"/>
      <c r="AC177" s="656"/>
      <c r="AD177" s="656"/>
      <c r="AE177" s="656"/>
      <c r="AF177" s="656"/>
      <c r="AG177" s="656"/>
      <c r="AH177" s="656"/>
      <c r="AI177" s="656"/>
      <c r="AJ177" s="656"/>
      <c r="AK177" s="656"/>
      <c r="AL177" s="656"/>
      <c r="AM177" s="656"/>
      <c r="AN177" s="656"/>
      <c r="AO177" s="656"/>
      <c r="AP177" s="656"/>
      <c r="AQ177" s="656"/>
    </row>
    <row r="178" spans="1:43" s="68" customFormat="1" ht="15.75">
      <c r="A178" s="96" t="s">
        <v>55</v>
      </c>
      <c r="B178" s="96" t="s">
        <v>53</v>
      </c>
      <c r="C178" s="282">
        <v>2005</v>
      </c>
      <c r="D178" s="282">
        <v>2006</v>
      </c>
      <c r="E178" s="282">
        <v>2007</v>
      </c>
      <c r="F178" s="282">
        <v>2008</v>
      </c>
      <c r="G178" s="282">
        <v>2009</v>
      </c>
      <c r="H178" s="282">
        <v>2010</v>
      </c>
      <c r="I178" s="282">
        <v>2011</v>
      </c>
      <c r="J178" s="282">
        <v>2012</v>
      </c>
      <c r="K178" s="282">
        <v>2013</v>
      </c>
      <c r="L178" s="282">
        <v>2014</v>
      </c>
      <c r="M178" s="282">
        <v>2015</v>
      </c>
      <c r="N178" s="282">
        <v>2016</v>
      </c>
      <c r="O178" s="282">
        <v>2017</v>
      </c>
      <c r="P178" s="282">
        <v>2018</v>
      </c>
      <c r="Q178" s="282">
        <v>2019</v>
      </c>
      <c r="R178" s="282">
        <v>2020</v>
      </c>
      <c r="S178" s="282">
        <v>2021</v>
      </c>
      <c r="T178" s="282">
        <v>2022</v>
      </c>
      <c r="U178" s="282">
        <v>2023</v>
      </c>
      <c r="V178" s="282" t="s">
        <v>102</v>
      </c>
      <c r="W178" s="300"/>
      <c r="X178" s="283">
        <v>2005</v>
      </c>
      <c r="Y178" s="283">
        <v>2006</v>
      </c>
      <c r="Z178" s="283">
        <v>2007</v>
      </c>
      <c r="AA178" s="283">
        <v>2008</v>
      </c>
      <c r="AB178" s="283">
        <v>2009</v>
      </c>
      <c r="AC178" s="283">
        <v>2010</v>
      </c>
      <c r="AD178" s="283">
        <v>2011</v>
      </c>
      <c r="AE178" s="283">
        <v>2012</v>
      </c>
      <c r="AF178" s="283">
        <v>2013</v>
      </c>
      <c r="AG178" s="380">
        <v>2014</v>
      </c>
      <c r="AH178" s="393">
        <v>2015</v>
      </c>
      <c r="AI178" s="424">
        <v>2016</v>
      </c>
      <c r="AJ178" s="495">
        <v>2017</v>
      </c>
      <c r="AK178" s="514">
        <v>2018</v>
      </c>
      <c r="AL178" s="554">
        <v>2019</v>
      </c>
      <c r="AM178" s="563">
        <v>2020</v>
      </c>
      <c r="AN178" s="608">
        <v>2021</v>
      </c>
      <c r="AO178" s="617">
        <v>2022</v>
      </c>
      <c r="AP178" s="620">
        <v>2023</v>
      </c>
      <c r="AQ178" s="283" t="s">
        <v>102</v>
      </c>
    </row>
    <row r="179" spans="1:43" ht="15.75">
      <c r="A179" s="96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282" t="s">
        <v>101</v>
      </c>
      <c r="W179" s="210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386" t="s">
        <v>101</v>
      </c>
    </row>
    <row r="180" spans="1:43" ht="15.75">
      <c r="A180" s="98" t="s">
        <v>58</v>
      </c>
      <c r="B180" s="98" t="s">
        <v>2</v>
      </c>
      <c r="C180" s="144">
        <v>491.1</v>
      </c>
      <c r="D180" s="144">
        <v>444.2</v>
      </c>
      <c r="E180" s="144">
        <f>'пр-во '!J21</f>
        <v>474.4</v>
      </c>
      <c r="F180" s="144">
        <f>'пр-во '!J8</f>
        <v>396.2</v>
      </c>
      <c r="G180" s="75">
        <v>562.683</v>
      </c>
      <c r="H180" s="75">
        <v>516.1</v>
      </c>
      <c r="I180" s="75">
        <v>577.1</v>
      </c>
      <c r="J180" s="75">
        <v>524.77</v>
      </c>
      <c r="K180" s="75">
        <v>615.616</v>
      </c>
      <c r="L180" s="75">
        <v>525.7</v>
      </c>
      <c r="M180" s="75">
        <v>627.9</v>
      </c>
      <c r="N180" s="75">
        <v>586.7</v>
      </c>
      <c r="O180" s="75">
        <v>602.983</v>
      </c>
      <c r="P180" s="75">
        <v>600.513</v>
      </c>
      <c r="Q180" s="75">
        <v>465.039</v>
      </c>
      <c r="R180" s="75">
        <v>726.011</v>
      </c>
      <c r="S180" s="75">
        <v>736.834</v>
      </c>
      <c r="T180" s="75">
        <v>670.106</v>
      </c>
      <c r="U180" s="75">
        <v>810.814</v>
      </c>
      <c r="V180" s="443">
        <f>U180/T180-1</f>
        <v>0.209978719784631</v>
      </c>
      <c r="W180" s="288"/>
      <c r="X180" s="213">
        <v>59.2</v>
      </c>
      <c r="Y180" s="213">
        <v>24.8</v>
      </c>
      <c r="Z180" s="213">
        <f>'отгр.  2008'!J22</f>
        <v>21.596</v>
      </c>
      <c r="AA180" s="213">
        <f>'отгр.  2008'!J8</f>
        <v>10.45768</v>
      </c>
      <c r="AB180" s="238">
        <v>22.78479</v>
      </c>
      <c r="AC180" s="238">
        <v>12.1</v>
      </c>
      <c r="AD180" s="238">
        <v>20.7</v>
      </c>
      <c r="AE180" s="238">
        <v>9.8</v>
      </c>
      <c r="AF180" s="238">
        <v>41.1</v>
      </c>
      <c r="AG180" s="238">
        <v>16.3</v>
      </c>
      <c r="AH180" s="238">
        <v>13.4</v>
      </c>
      <c r="AI180" s="238">
        <v>0</v>
      </c>
      <c r="AJ180" s="238">
        <v>0</v>
      </c>
      <c r="AK180" s="238">
        <v>0</v>
      </c>
      <c r="AL180" s="238">
        <v>0</v>
      </c>
      <c r="AM180" s="238">
        <v>1.99307</v>
      </c>
      <c r="AN180" s="238">
        <v>0</v>
      </c>
      <c r="AO180" s="238">
        <v>0</v>
      </c>
      <c r="AP180" s="238">
        <v>0</v>
      </c>
      <c r="AQ180" s="573">
        <v>0</v>
      </c>
    </row>
    <row r="181" spans="1:43" ht="15.75">
      <c r="A181" s="100" t="s">
        <v>99</v>
      </c>
      <c r="B181" s="100" t="s">
        <v>93</v>
      </c>
      <c r="C181" s="222">
        <v>432</v>
      </c>
      <c r="D181" s="222">
        <v>419</v>
      </c>
      <c r="E181" s="217">
        <v>459.5</v>
      </c>
      <c r="F181" s="217">
        <v>384.9</v>
      </c>
      <c r="G181" s="181">
        <v>539.1183</v>
      </c>
      <c r="H181" s="181">
        <v>507.91375999999997</v>
      </c>
      <c r="I181" s="181">
        <v>557.5</v>
      </c>
      <c r="J181" s="181">
        <v>513.2</v>
      </c>
      <c r="K181" s="181">
        <v>573.52424</v>
      </c>
      <c r="L181" s="181">
        <v>509.6</v>
      </c>
      <c r="M181" s="181">
        <v>613.7</v>
      </c>
      <c r="N181" s="181">
        <v>586.7</v>
      </c>
      <c r="O181" s="181">
        <v>601.9027</v>
      </c>
      <c r="P181" s="181">
        <v>603.743</v>
      </c>
      <c r="Q181" s="181">
        <v>462.11301</v>
      </c>
      <c r="R181" s="181">
        <v>726.830829</v>
      </c>
      <c r="S181" s="181">
        <v>734.009109</v>
      </c>
      <c r="T181" s="181">
        <v>671.3782</v>
      </c>
      <c r="U181" s="181">
        <v>809.2223990000001</v>
      </c>
      <c r="V181" s="217"/>
      <c r="W181" s="289"/>
      <c r="X181" s="211"/>
      <c r="Y181" s="211"/>
      <c r="Z181" s="218"/>
      <c r="AA181" s="218"/>
      <c r="AB181" s="240"/>
      <c r="AC181" s="240"/>
      <c r="AD181" s="240"/>
      <c r="AE181" s="240"/>
      <c r="AF181" s="240"/>
      <c r="AG181" s="240"/>
      <c r="AH181" s="240">
        <v>3.98822</v>
      </c>
      <c r="AI181" s="240"/>
      <c r="AJ181" s="240"/>
      <c r="AK181" s="240"/>
      <c r="AL181" s="240"/>
      <c r="AM181" s="240"/>
      <c r="AN181" s="240"/>
      <c r="AO181" s="240"/>
      <c r="AP181" s="240"/>
      <c r="AQ181" s="574"/>
    </row>
    <row r="182" spans="1:43" ht="15.75">
      <c r="A182" s="70" t="s">
        <v>121</v>
      </c>
      <c r="B182" s="70" t="s">
        <v>57</v>
      </c>
      <c r="C182" s="144">
        <f aca="true" t="shared" si="202" ref="C182:F183">C184</f>
        <v>637.0999999999999</v>
      </c>
      <c r="D182" s="144">
        <f t="shared" si="202"/>
        <v>614.4</v>
      </c>
      <c r="E182" s="144">
        <f t="shared" si="202"/>
        <v>687.5999999999999</v>
      </c>
      <c r="F182" s="144">
        <f t="shared" si="202"/>
        <v>606</v>
      </c>
      <c r="G182" s="75">
        <v>926.146</v>
      </c>
      <c r="H182" s="75">
        <v>844.7</v>
      </c>
      <c r="I182" s="75">
        <v>926.2</v>
      </c>
      <c r="J182" s="75">
        <v>887.02</v>
      </c>
      <c r="K182" s="75">
        <v>982.52264</v>
      </c>
      <c r="L182" s="75">
        <v>874.2</v>
      </c>
      <c r="M182" s="75">
        <f aca="true" t="shared" si="203" ref="M182:P183">M184</f>
        <v>1062.8</v>
      </c>
      <c r="N182" s="75">
        <f t="shared" si="203"/>
        <v>1060</v>
      </c>
      <c r="O182" s="75">
        <f t="shared" si="203"/>
        <v>1213.782</v>
      </c>
      <c r="P182" s="75">
        <f t="shared" si="203"/>
        <v>1155.961</v>
      </c>
      <c r="Q182" s="75">
        <f aca="true" t="shared" si="204" ref="Q182:U183">Q184</f>
        <v>1014.9872</v>
      </c>
      <c r="R182" s="75">
        <f t="shared" si="204"/>
        <v>1302.1622</v>
      </c>
      <c r="S182" s="75">
        <f t="shared" si="204"/>
        <v>1258.9328999999998</v>
      </c>
      <c r="T182" s="75">
        <f t="shared" si="204"/>
        <v>1304.3091</v>
      </c>
      <c r="U182" s="75">
        <f t="shared" si="204"/>
        <v>1421.899353</v>
      </c>
      <c r="V182" s="443">
        <f>U182/T182-1</f>
        <v>0.09015520400800714</v>
      </c>
      <c r="W182" s="288"/>
      <c r="X182" s="213">
        <f>X184</f>
        <v>483.2</v>
      </c>
      <c r="Y182" s="213">
        <f>Y184</f>
        <v>527.2</v>
      </c>
      <c r="Z182" s="213">
        <f>Z184</f>
        <v>613.1</v>
      </c>
      <c r="AA182" s="213">
        <f>AA184</f>
        <v>599.42074</v>
      </c>
      <c r="AB182" s="238">
        <v>889.417874</v>
      </c>
      <c r="AC182" s="213">
        <f aca="true" t="shared" si="205" ref="AC182:AK182">AC184</f>
        <v>773</v>
      </c>
      <c r="AD182" s="213">
        <f t="shared" si="205"/>
        <v>878.34775</v>
      </c>
      <c r="AE182" s="213">
        <f t="shared" si="205"/>
        <v>830.7</v>
      </c>
      <c r="AF182" s="213">
        <f t="shared" si="205"/>
        <v>942.37225</v>
      </c>
      <c r="AG182" s="213">
        <f t="shared" si="205"/>
        <v>826.2</v>
      </c>
      <c r="AH182" s="213">
        <f t="shared" si="205"/>
        <v>1030.1</v>
      </c>
      <c r="AI182" s="213">
        <f t="shared" si="205"/>
        <v>1007.5</v>
      </c>
      <c r="AJ182" s="213">
        <f t="shared" si="205"/>
        <v>588.16793</v>
      </c>
      <c r="AK182" s="213">
        <f t="shared" si="205"/>
        <v>1042.48454</v>
      </c>
      <c r="AL182" s="213">
        <f>AL184</f>
        <v>1018.74036</v>
      </c>
      <c r="AM182" s="213">
        <f>AM184</f>
        <v>1294.10911</v>
      </c>
      <c r="AN182" s="213">
        <f>AN184</f>
        <v>1256.74536</v>
      </c>
      <c r="AO182" s="213">
        <f>AO184</f>
        <v>1243.02583</v>
      </c>
      <c r="AP182" s="213">
        <f>AP184</f>
        <v>1426.8352805</v>
      </c>
      <c r="AQ182" s="573">
        <f>AP182/AO182-1</f>
        <v>0.14787259127189656</v>
      </c>
    </row>
    <row r="183" spans="1:43" ht="15">
      <c r="A183" s="100" t="s">
        <v>99</v>
      </c>
      <c r="B183" s="100" t="s">
        <v>93</v>
      </c>
      <c r="C183" s="217">
        <f t="shared" si="202"/>
        <v>131.9</v>
      </c>
      <c r="D183" s="217">
        <f t="shared" si="202"/>
        <v>91.5</v>
      </c>
      <c r="E183" s="217">
        <f t="shared" si="202"/>
        <v>65.6</v>
      </c>
      <c r="F183" s="217">
        <f t="shared" si="202"/>
        <v>19.6</v>
      </c>
      <c r="G183" s="181">
        <v>40.078</v>
      </c>
      <c r="H183" s="181">
        <v>46.1</v>
      </c>
      <c r="I183" s="181">
        <v>55.2</v>
      </c>
      <c r="J183" s="181">
        <v>52.4</v>
      </c>
      <c r="K183" s="181">
        <v>59.905770000000004</v>
      </c>
      <c r="L183" s="181">
        <v>51.7</v>
      </c>
      <c r="M183" s="181">
        <f t="shared" si="203"/>
        <v>32.1</v>
      </c>
      <c r="N183" s="181">
        <f t="shared" si="203"/>
        <v>47.8</v>
      </c>
      <c r="O183" s="181">
        <f t="shared" si="203"/>
        <v>597.10667</v>
      </c>
      <c r="P183" s="181">
        <f t="shared" si="203"/>
        <v>144.27932500000003</v>
      </c>
      <c r="Q183" s="181">
        <f t="shared" si="204"/>
        <v>5.1046</v>
      </c>
      <c r="R183" s="181">
        <f t="shared" si="204"/>
        <v>0</v>
      </c>
      <c r="S183" s="181">
        <f t="shared" si="204"/>
        <v>0</v>
      </c>
      <c r="T183" s="181">
        <f t="shared" si="204"/>
        <v>15.502903</v>
      </c>
      <c r="U183" s="181">
        <f t="shared" si="204"/>
        <v>0</v>
      </c>
      <c r="V183" s="217"/>
      <c r="W183" s="289"/>
      <c r="X183" s="211"/>
      <c r="Y183" s="211"/>
      <c r="Z183" s="220"/>
      <c r="AA183" s="220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574"/>
    </row>
    <row r="184" spans="1:43" ht="15">
      <c r="A184" s="116" t="s">
        <v>122</v>
      </c>
      <c r="B184" s="117" t="s">
        <v>60</v>
      </c>
      <c r="C184" s="222">
        <f>663.3-26.2</f>
        <v>637.0999999999999</v>
      </c>
      <c r="D184" s="222">
        <f>661-46.6</f>
        <v>614.4</v>
      </c>
      <c r="E184" s="222">
        <v>687.5999999999999</v>
      </c>
      <c r="F184" s="222">
        <v>606</v>
      </c>
      <c r="G184" s="185">
        <v>926.146</v>
      </c>
      <c r="H184" s="185">
        <v>844.7</v>
      </c>
      <c r="I184" s="181">
        <v>926.2</v>
      </c>
      <c r="J184" s="181">
        <v>887.02</v>
      </c>
      <c r="K184" s="181">
        <v>982.52264</v>
      </c>
      <c r="L184" s="181">
        <v>874.2</v>
      </c>
      <c r="M184" s="181">
        <v>1062.8</v>
      </c>
      <c r="N184" s="181">
        <v>1060</v>
      </c>
      <c r="O184" s="181">
        <v>1213.782</v>
      </c>
      <c r="P184" s="181">
        <v>1155.961</v>
      </c>
      <c r="Q184" s="181">
        <v>1014.9872</v>
      </c>
      <c r="R184" s="181">
        <v>1302.1622</v>
      </c>
      <c r="S184" s="181">
        <v>1258.9328999999998</v>
      </c>
      <c r="T184" s="181">
        <v>1304.3091</v>
      </c>
      <c r="U184" s="181">
        <v>1421.899353</v>
      </c>
      <c r="V184" s="428">
        <f>U184/T184-1</f>
        <v>0.09015520400800714</v>
      </c>
      <c r="W184" s="69"/>
      <c r="X184" s="211">
        <v>483.2</v>
      </c>
      <c r="Y184" s="211">
        <v>527.2</v>
      </c>
      <c r="Z184" s="211">
        <f>'отгр.  2008'!C22</f>
        <v>613.1</v>
      </c>
      <c r="AA184" s="211">
        <f>'отгр.  2008'!C8</f>
        <v>599.42074</v>
      </c>
      <c r="AB184" s="242">
        <v>889.417874</v>
      </c>
      <c r="AC184" s="242">
        <v>773</v>
      </c>
      <c r="AD184" s="242">
        <v>878.34775</v>
      </c>
      <c r="AE184" s="242">
        <v>830.7</v>
      </c>
      <c r="AF184" s="242">
        <v>942.37225</v>
      </c>
      <c r="AG184" s="242">
        <v>826.2</v>
      </c>
      <c r="AH184" s="242">
        <v>1030.1</v>
      </c>
      <c r="AI184" s="242">
        <v>1007.5</v>
      </c>
      <c r="AJ184" s="242">
        <v>588.16793</v>
      </c>
      <c r="AK184" s="242">
        <v>1042.48454</v>
      </c>
      <c r="AL184" s="242">
        <v>1018.74036</v>
      </c>
      <c r="AM184" s="242">
        <v>1294.10911</v>
      </c>
      <c r="AN184" s="242">
        <v>1256.74536</v>
      </c>
      <c r="AO184" s="242">
        <v>1243.02583</v>
      </c>
      <c r="AP184" s="242">
        <v>1426.8352805</v>
      </c>
      <c r="AQ184" s="575">
        <f>AP184/AO184-1</f>
        <v>0.14787259127189656</v>
      </c>
    </row>
    <row r="185" spans="1:43" ht="15">
      <c r="A185" s="100" t="s">
        <v>99</v>
      </c>
      <c r="B185" s="100" t="s">
        <v>93</v>
      </c>
      <c r="C185" s="222">
        <v>131.9</v>
      </c>
      <c r="D185" s="222">
        <v>91.5</v>
      </c>
      <c r="E185" s="217">
        <v>65.6</v>
      </c>
      <c r="F185" s="217">
        <v>19.6</v>
      </c>
      <c r="G185" s="181">
        <v>40.078</v>
      </c>
      <c r="H185" s="181">
        <v>46.1</v>
      </c>
      <c r="I185" s="181">
        <v>55.2</v>
      </c>
      <c r="J185" s="181">
        <v>52.4</v>
      </c>
      <c r="K185" s="181">
        <v>59.905770000000004</v>
      </c>
      <c r="L185" s="181">
        <v>51.7</v>
      </c>
      <c r="M185" s="181">
        <v>32.1</v>
      </c>
      <c r="N185" s="181">
        <v>47.8</v>
      </c>
      <c r="O185" s="181">
        <v>597.10667</v>
      </c>
      <c r="P185" s="181">
        <v>144.27932500000003</v>
      </c>
      <c r="Q185" s="181">
        <v>5.1046</v>
      </c>
      <c r="R185" s="181">
        <v>0</v>
      </c>
      <c r="S185" s="181">
        <v>0</v>
      </c>
      <c r="T185" s="181">
        <v>15.502903</v>
      </c>
      <c r="U185" s="181">
        <v>0</v>
      </c>
      <c r="V185" s="217"/>
      <c r="W185" s="289"/>
      <c r="X185" s="211"/>
      <c r="Y185" s="211"/>
      <c r="Z185" s="220"/>
      <c r="AA185" s="220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574"/>
    </row>
    <row r="186" spans="1:43" ht="15" hidden="1">
      <c r="A186" s="117" t="s">
        <v>61</v>
      </c>
      <c r="B186" s="117" t="s">
        <v>62</v>
      </c>
      <c r="C186" s="222"/>
      <c r="D186" s="222"/>
      <c r="E186" s="222"/>
      <c r="F186" s="222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222" t="e">
        <f aca="true" t="shared" si="206" ref="V186:V211">R186/Q186-1</f>
        <v>#DIV/0!</v>
      </c>
      <c r="W186" s="69"/>
      <c r="X186" s="211"/>
      <c r="Y186" s="211"/>
      <c r="Z186" s="211"/>
      <c r="AA186" s="211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574" t="e">
        <f>AH186/AG186-1</f>
        <v>#DIV/0!</v>
      </c>
    </row>
    <row r="187" spans="1:43" ht="15" hidden="1">
      <c r="A187" s="100" t="s">
        <v>99</v>
      </c>
      <c r="B187" s="186" t="s">
        <v>93</v>
      </c>
      <c r="C187" s="222"/>
      <c r="D187" s="222"/>
      <c r="E187" s="222"/>
      <c r="F187" s="222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222" t="e">
        <f t="shared" si="206"/>
        <v>#DIV/0!</v>
      </c>
      <c r="W187" s="69"/>
      <c r="X187" s="211"/>
      <c r="Y187" s="211"/>
      <c r="Z187" s="211"/>
      <c r="AA187" s="211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574" t="e">
        <f>AH187/AG187-1</f>
        <v>#DIV/0!</v>
      </c>
    </row>
    <row r="188" spans="1:43" ht="15" hidden="1">
      <c r="A188" s="117" t="s">
        <v>63</v>
      </c>
      <c r="B188" s="117" t="s">
        <v>64</v>
      </c>
      <c r="C188" s="222"/>
      <c r="D188" s="222"/>
      <c r="E188" s="222"/>
      <c r="F188" s="222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222" t="e">
        <f t="shared" si="206"/>
        <v>#DIV/0!</v>
      </c>
      <c r="W188" s="69"/>
      <c r="X188" s="211"/>
      <c r="Y188" s="211"/>
      <c r="Z188" s="211"/>
      <c r="AA188" s="211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574" t="e">
        <f>AH188/AG188-1</f>
        <v>#DIV/0!</v>
      </c>
    </row>
    <row r="189" spans="1:43" ht="15.75">
      <c r="A189" s="70" t="s">
        <v>124</v>
      </c>
      <c r="B189" s="70" t="s">
        <v>65</v>
      </c>
      <c r="C189" s="144">
        <f>C191+C194</f>
        <v>851.1</v>
      </c>
      <c r="D189" s="144">
        <f>D191+D194</f>
        <v>703.9</v>
      </c>
      <c r="E189" s="144">
        <f>E191+E194</f>
        <v>725</v>
      </c>
      <c r="F189" s="144">
        <f>F191+F194</f>
        <v>434</v>
      </c>
      <c r="G189" s="75">
        <v>641.3617</v>
      </c>
      <c r="H189" s="144">
        <f aca="true" t="shared" si="207" ref="H189:P189">H191+H194</f>
        <v>635.7</v>
      </c>
      <c r="I189" s="144">
        <f t="shared" si="207"/>
        <v>697.3</v>
      </c>
      <c r="J189" s="144">
        <f t="shared" si="207"/>
        <v>596.7</v>
      </c>
      <c r="K189" s="144">
        <f t="shared" si="207"/>
        <v>730.545275</v>
      </c>
      <c r="L189" s="144">
        <f t="shared" si="207"/>
        <v>628.3000000000001</v>
      </c>
      <c r="M189" s="144">
        <f t="shared" si="207"/>
        <v>714.6999999999999</v>
      </c>
      <c r="N189" s="144">
        <f t="shared" si="207"/>
        <v>731.6</v>
      </c>
      <c r="O189" s="144">
        <f t="shared" si="207"/>
        <v>1428.65996</v>
      </c>
      <c r="P189" s="144">
        <f t="shared" si="207"/>
        <v>963.1480999999999</v>
      </c>
      <c r="Q189" s="144">
        <f>Q191+Q194</f>
        <v>509.9376</v>
      </c>
      <c r="R189" s="144">
        <f>R191+R194</f>
        <v>742.27186</v>
      </c>
      <c r="S189" s="144">
        <f>S191+S194</f>
        <v>794.762</v>
      </c>
      <c r="T189" s="144">
        <f>T191+T194</f>
        <v>730.3373</v>
      </c>
      <c r="U189" s="144">
        <f>U191+U194</f>
        <v>796.824</v>
      </c>
      <c r="V189" s="443">
        <f>U189/T189-1</f>
        <v>0.09103560779382347</v>
      </c>
      <c r="W189" s="288"/>
      <c r="X189" s="213">
        <f>X191+X194</f>
        <v>782.2</v>
      </c>
      <c r="Y189" s="213">
        <f>Y191+Y194</f>
        <v>649</v>
      </c>
      <c r="Z189" s="213">
        <f>Z191+Z194</f>
        <v>684.2</v>
      </c>
      <c r="AA189" s="213">
        <f>AA191+AA194</f>
        <v>403.891716</v>
      </c>
      <c r="AB189" s="238">
        <v>635.270018</v>
      </c>
      <c r="AC189" s="213">
        <f aca="true" t="shared" si="208" ref="AC189:AK189">AC191+AC194</f>
        <v>590.3000000000001</v>
      </c>
      <c r="AD189" s="213">
        <f t="shared" si="208"/>
        <v>680.400404</v>
      </c>
      <c r="AE189" s="213">
        <f t="shared" si="208"/>
        <v>560.8000000000001</v>
      </c>
      <c r="AF189" s="213">
        <f t="shared" si="208"/>
        <v>697.007064</v>
      </c>
      <c r="AG189" s="213">
        <f t="shared" si="208"/>
        <v>592.5</v>
      </c>
      <c r="AH189" s="213">
        <f t="shared" si="208"/>
        <v>693.5</v>
      </c>
      <c r="AI189" s="213">
        <f t="shared" si="208"/>
        <v>707.8</v>
      </c>
      <c r="AJ189" s="213">
        <f t="shared" si="208"/>
        <v>1332.93277</v>
      </c>
      <c r="AK189" s="213">
        <f t="shared" si="208"/>
        <v>927.2346100000002</v>
      </c>
      <c r="AL189" s="213">
        <f>AL191+AL194</f>
        <v>516.91521</v>
      </c>
      <c r="AM189" s="213">
        <f>AM191+AM194</f>
        <v>740.58695</v>
      </c>
      <c r="AN189" s="213">
        <f>AN191+AN194</f>
        <v>794.9003236</v>
      </c>
      <c r="AO189" s="213">
        <f>AO191+AO194</f>
        <v>666.569356</v>
      </c>
      <c r="AP189" s="213">
        <f>AP191+AP194</f>
        <v>778.904004</v>
      </c>
      <c r="AQ189" s="573">
        <f>AP189/AO189-1</f>
        <v>0.16852657114948433</v>
      </c>
    </row>
    <row r="190" spans="1:43" ht="15.75">
      <c r="A190" s="100" t="s">
        <v>99</v>
      </c>
      <c r="B190" s="100" t="s">
        <v>93</v>
      </c>
      <c r="C190" s="217">
        <f>C192</f>
        <v>70.1</v>
      </c>
      <c r="D190" s="217">
        <f>D192</f>
        <v>58</v>
      </c>
      <c r="E190" s="217">
        <f>E192</f>
        <v>32.7</v>
      </c>
      <c r="F190" s="217">
        <f>F192</f>
        <v>12.8</v>
      </c>
      <c r="G190" s="181">
        <v>24.51622</v>
      </c>
      <c r="H190" s="181">
        <v>33.6</v>
      </c>
      <c r="I190" s="181">
        <v>33.2</v>
      </c>
      <c r="J190" s="181">
        <f aca="true" t="shared" si="209" ref="J190:P190">J192</f>
        <v>35</v>
      </c>
      <c r="K190" s="181">
        <f t="shared" si="209"/>
        <v>39.09272</v>
      </c>
      <c r="L190" s="181">
        <f t="shared" si="209"/>
        <v>35.9</v>
      </c>
      <c r="M190" s="181">
        <f t="shared" si="209"/>
        <v>21.2</v>
      </c>
      <c r="N190" s="181">
        <f t="shared" si="209"/>
        <v>22.2</v>
      </c>
      <c r="O190" s="181">
        <f t="shared" si="209"/>
        <v>73.24971</v>
      </c>
      <c r="P190" s="181">
        <f t="shared" si="209"/>
        <v>43.45377</v>
      </c>
      <c r="Q190" s="181">
        <f>Q192</f>
        <v>3.556</v>
      </c>
      <c r="R190" s="181">
        <f>R192</f>
        <v>0</v>
      </c>
      <c r="S190" s="181">
        <f>S192</f>
        <v>0</v>
      </c>
      <c r="T190" s="181">
        <f>T192</f>
        <v>10.378397</v>
      </c>
      <c r="U190" s="181">
        <f>U192</f>
        <v>0</v>
      </c>
      <c r="V190" s="217"/>
      <c r="W190" s="289"/>
      <c r="X190" s="211"/>
      <c r="Y190" s="211"/>
      <c r="Z190" s="218"/>
      <c r="AA190" s="21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574"/>
    </row>
    <row r="191" spans="1:43" ht="15.75">
      <c r="A191" s="117" t="s">
        <v>66</v>
      </c>
      <c r="B191" s="117" t="s">
        <v>67</v>
      </c>
      <c r="C191" s="222">
        <v>633.7</v>
      </c>
      <c r="D191" s="222">
        <v>552.5</v>
      </c>
      <c r="E191" s="222">
        <v>618.4</v>
      </c>
      <c r="F191" s="222">
        <v>401.9</v>
      </c>
      <c r="G191" s="185">
        <v>576.0534</v>
      </c>
      <c r="H191" s="185">
        <v>554.6</v>
      </c>
      <c r="I191" s="185">
        <v>606.8</v>
      </c>
      <c r="J191" s="185">
        <v>508.3</v>
      </c>
      <c r="K191" s="185">
        <v>631.2325</v>
      </c>
      <c r="L191" s="185">
        <v>540.1</v>
      </c>
      <c r="M191" s="185">
        <v>661.3</v>
      </c>
      <c r="N191" s="185">
        <v>660.9</v>
      </c>
      <c r="O191" s="185">
        <v>757.686</v>
      </c>
      <c r="P191" s="185">
        <v>775.5409999999999</v>
      </c>
      <c r="Q191" s="185">
        <v>501.277</v>
      </c>
      <c r="R191" s="185">
        <v>742.27186</v>
      </c>
      <c r="S191" s="185">
        <v>794.762</v>
      </c>
      <c r="T191" s="185">
        <v>704.456</v>
      </c>
      <c r="U191" s="185">
        <v>796.824</v>
      </c>
      <c r="V191" s="428">
        <f>U191/T191-1</f>
        <v>0.13111961570346464</v>
      </c>
      <c r="W191" s="69"/>
      <c r="X191" s="211">
        <v>563</v>
      </c>
      <c r="Y191" s="211">
        <v>495.7</v>
      </c>
      <c r="Z191" s="211">
        <f>'отгр.  2008'!D22</f>
        <v>578.1</v>
      </c>
      <c r="AA191" s="211">
        <f>'отгр.  2008'!D8</f>
        <v>368.084516</v>
      </c>
      <c r="AB191" s="242">
        <v>568.565418</v>
      </c>
      <c r="AC191" s="242">
        <v>516.2</v>
      </c>
      <c r="AD191" s="242">
        <v>586.894404</v>
      </c>
      <c r="AE191" s="242">
        <v>469.6</v>
      </c>
      <c r="AF191" s="242">
        <v>597.407064</v>
      </c>
      <c r="AG191" s="242">
        <v>503.5</v>
      </c>
      <c r="AH191" s="242">
        <v>640.9</v>
      </c>
      <c r="AI191" s="242">
        <v>641</v>
      </c>
      <c r="AJ191" s="242">
        <v>670.31851</v>
      </c>
      <c r="AK191" s="242">
        <v>726.7045100000001</v>
      </c>
      <c r="AL191" s="242">
        <v>508.07586</v>
      </c>
      <c r="AM191" s="242">
        <v>740.58695</v>
      </c>
      <c r="AN191" s="242">
        <v>794.9003236</v>
      </c>
      <c r="AO191" s="242">
        <v>640.688056</v>
      </c>
      <c r="AP191" s="242">
        <v>778.904004</v>
      </c>
      <c r="AQ191" s="575">
        <f>AP191/AO191-1</f>
        <v>0.21573048959726515</v>
      </c>
    </row>
    <row r="192" spans="1:43" ht="15">
      <c r="A192" s="100" t="s">
        <v>99</v>
      </c>
      <c r="B192" s="100" t="s">
        <v>93</v>
      </c>
      <c r="C192" s="222">
        <v>70.1</v>
      </c>
      <c r="D192" s="222">
        <v>58</v>
      </c>
      <c r="E192" s="217">
        <v>32.7</v>
      </c>
      <c r="F192" s="217">
        <v>12.8</v>
      </c>
      <c r="G192" s="181">
        <v>24.51622</v>
      </c>
      <c r="H192" s="181">
        <v>33.6</v>
      </c>
      <c r="I192" s="181">
        <v>33.2</v>
      </c>
      <c r="J192" s="181">
        <v>35</v>
      </c>
      <c r="K192" s="181">
        <v>39.09272</v>
      </c>
      <c r="L192" s="181">
        <v>35.9</v>
      </c>
      <c r="M192" s="181">
        <v>21.2</v>
      </c>
      <c r="N192" s="181">
        <v>22.2</v>
      </c>
      <c r="O192" s="181">
        <v>73.24971</v>
      </c>
      <c r="P192" s="181">
        <v>43.45377</v>
      </c>
      <c r="Q192" s="181">
        <v>3.556</v>
      </c>
      <c r="R192" s="181">
        <v>0</v>
      </c>
      <c r="S192" s="181">
        <v>0</v>
      </c>
      <c r="T192" s="181">
        <v>10.378397</v>
      </c>
      <c r="U192" s="181">
        <v>0</v>
      </c>
      <c r="V192" s="217"/>
      <c r="W192" s="289"/>
      <c r="X192" s="211"/>
      <c r="Y192" s="211"/>
      <c r="Z192" s="220"/>
      <c r="AA192" s="220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574"/>
    </row>
    <row r="193" spans="1:43" ht="15">
      <c r="A193" s="117" t="s">
        <v>68</v>
      </c>
      <c r="B193" s="117" t="s">
        <v>69</v>
      </c>
      <c r="C193" s="222"/>
      <c r="D193" s="222"/>
      <c r="E193" s="222"/>
      <c r="F193" s="222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222"/>
      <c r="W193" s="69"/>
      <c r="X193" s="211"/>
      <c r="Y193" s="211"/>
      <c r="Z193" s="211"/>
      <c r="AA193" s="211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574"/>
    </row>
    <row r="194" spans="1:43" ht="15">
      <c r="A194" s="117" t="s">
        <v>70</v>
      </c>
      <c r="B194" s="116" t="s">
        <v>125</v>
      </c>
      <c r="C194" s="222">
        <v>217.4</v>
      </c>
      <c r="D194" s="222">
        <v>151.4</v>
      </c>
      <c r="E194" s="222">
        <f>'пр-во '!E21</f>
        <v>106.6</v>
      </c>
      <c r="F194" s="222">
        <f>'пр-во '!E8</f>
        <v>32.1</v>
      </c>
      <c r="G194" s="185">
        <v>65.3083</v>
      </c>
      <c r="H194" s="185">
        <v>81.1</v>
      </c>
      <c r="I194" s="185">
        <v>90.5</v>
      </c>
      <c r="J194" s="185">
        <v>88.4</v>
      </c>
      <c r="K194" s="185">
        <v>99.312775</v>
      </c>
      <c r="L194" s="185">
        <v>88.2</v>
      </c>
      <c r="M194" s="185">
        <v>53.4</v>
      </c>
      <c r="N194" s="185">
        <v>70.7</v>
      </c>
      <c r="O194" s="185">
        <v>670.97396</v>
      </c>
      <c r="P194" s="185">
        <v>187.60709999999997</v>
      </c>
      <c r="Q194" s="185">
        <v>8.6606</v>
      </c>
      <c r="R194" s="185">
        <v>0</v>
      </c>
      <c r="S194" s="185">
        <v>0</v>
      </c>
      <c r="T194" s="185">
        <v>25.8813</v>
      </c>
      <c r="U194" s="185">
        <v>0</v>
      </c>
      <c r="V194" s="428" t="s">
        <v>308</v>
      </c>
      <c r="W194" s="69"/>
      <c r="X194" s="211">
        <v>219.2</v>
      </c>
      <c r="Y194" s="211">
        <v>153.3</v>
      </c>
      <c r="Z194" s="211">
        <f>'отгр.  2008'!E22</f>
        <v>106.1</v>
      </c>
      <c r="AA194" s="211">
        <f>'отгр.  2008'!E8</f>
        <v>35.807199999999995</v>
      </c>
      <c r="AB194" s="242">
        <v>66.7046</v>
      </c>
      <c r="AC194" s="242">
        <v>74.1</v>
      </c>
      <c r="AD194" s="242">
        <v>93.506</v>
      </c>
      <c r="AE194" s="242">
        <v>91.2</v>
      </c>
      <c r="AF194" s="242">
        <v>99.6</v>
      </c>
      <c r="AG194" s="242">
        <v>89</v>
      </c>
      <c r="AH194" s="242">
        <v>52.6</v>
      </c>
      <c r="AI194" s="242">
        <v>66.8</v>
      </c>
      <c r="AJ194" s="242">
        <v>662.61426</v>
      </c>
      <c r="AK194" s="242">
        <v>200.5301</v>
      </c>
      <c r="AL194" s="242">
        <v>8.83935</v>
      </c>
      <c r="AM194" s="242">
        <v>0</v>
      </c>
      <c r="AN194" s="242">
        <v>0</v>
      </c>
      <c r="AO194" s="242">
        <v>25.8813</v>
      </c>
      <c r="AP194" s="242">
        <v>0</v>
      </c>
      <c r="AQ194" s="575" t="s">
        <v>308</v>
      </c>
    </row>
    <row r="195" spans="1:43" ht="30.75" hidden="1">
      <c r="A195" s="70" t="s">
        <v>71</v>
      </c>
      <c r="B195" s="70" t="s">
        <v>72</v>
      </c>
      <c r="C195" s="222"/>
      <c r="D195" s="222"/>
      <c r="E195" s="144"/>
      <c r="F195" s="144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239" t="e">
        <f t="shared" si="206"/>
        <v>#DIV/0!</v>
      </c>
      <c r="W195" s="288"/>
      <c r="X195" s="211"/>
      <c r="Y195" s="211"/>
      <c r="Z195" s="213"/>
      <c r="AA195" s="213"/>
      <c r="AB195" s="238"/>
      <c r="AC195" s="238"/>
      <c r="AD195" s="238"/>
      <c r="AE195" s="238"/>
      <c r="AF195" s="238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574" t="e">
        <f aca="true" t="shared" si="210" ref="AQ195:AQ204">AH195/AG195-1</f>
        <v>#DIV/0!</v>
      </c>
    </row>
    <row r="196" spans="1:43" ht="15.75" hidden="1">
      <c r="A196" s="100" t="s">
        <v>99</v>
      </c>
      <c r="B196" s="186" t="s">
        <v>93</v>
      </c>
      <c r="C196" s="222"/>
      <c r="D196" s="222"/>
      <c r="E196" s="144"/>
      <c r="F196" s="144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239" t="e">
        <f t="shared" si="206"/>
        <v>#DIV/0!</v>
      </c>
      <c r="W196" s="288"/>
      <c r="X196" s="211"/>
      <c r="Y196" s="211"/>
      <c r="Z196" s="213"/>
      <c r="AA196" s="213"/>
      <c r="AB196" s="238"/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574" t="e">
        <f t="shared" si="210"/>
        <v>#DIV/0!</v>
      </c>
    </row>
    <row r="197" spans="1:43" ht="15" hidden="1">
      <c r="A197" s="117" t="s">
        <v>73</v>
      </c>
      <c r="B197" s="117" t="s">
        <v>74</v>
      </c>
      <c r="C197" s="222"/>
      <c r="D197" s="222"/>
      <c r="E197" s="222"/>
      <c r="F197" s="222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239" t="e">
        <f t="shared" si="206"/>
        <v>#DIV/0!</v>
      </c>
      <c r="W197" s="69"/>
      <c r="X197" s="211"/>
      <c r="Y197" s="211"/>
      <c r="Z197" s="211"/>
      <c r="AA197" s="211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574" t="e">
        <f t="shared" si="210"/>
        <v>#DIV/0!</v>
      </c>
    </row>
    <row r="198" spans="1:43" ht="15" hidden="1">
      <c r="A198" s="100" t="s">
        <v>99</v>
      </c>
      <c r="B198" s="186" t="s">
        <v>93</v>
      </c>
      <c r="C198" s="222"/>
      <c r="D198" s="222"/>
      <c r="E198" s="222"/>
      <c r="F198" s="222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239" t="e">
        <f t="shared" si="206"/>
        <v>#DIV/0!</v>
      </c>
      <c r="W198" s="69"/>
      <c r="X198" s="211"/>
      <c r="Y198" s="211"/>
      <c r="Z198" s="211"/>
      <c r="AA198" s="211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574" t="e">
        <f t="shared" si="210"/>
        <v>#DIV/0!</v>
      </c>
    </row>
    <row r="199" spans="1:43" ht="15" hidden="1">
      <c r="A199" s="117" t="s">
        <v>75</v>
      </c>
      <c r="B199" s="117" t="s">
        <v>76</v>
      </c>
      <c r="C199" s="222"/>
      <c r="D199" s="222"/>
      <c r="E199" s="222"/>
      <c r="F199" s="222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239" t="e">
        <f t="shared" si="206"/>
        <v>#DIV/0!</v>
      </c>
      <c r="W199" s="69"/>
      <c r="X199" s="211"/>
      <c r="Y199" s="211"/>
      <c r="Z199" s="211"/>
      <c r="AA199" s="211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574" t="e">
        <f t="shared" si="210"/>
        <v>#DIV/0!</v>
      </c>
    </row>
    <row r="200" spans="1:43" ht="15" hidden="1">
      <c r="A200" s="100" t="s">
        <v>99</v>
      </c>
      <c r="B200" s="186" t="s">
        <v>93</v>
      </c>
      <c r="C200" s="222"/>
      <c r="D200" s="222"/>
      <c r="E200" s="222"/>
      <c r="F200" s="222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239" t="e">
        <f t="shared" si="206"/>
        <v>#DIV/0!</v>
      </c>
      <c r="W200" s="69"/>
      <c r="X200" s="211"/>
      <c r="Y200" s="211"/>
      <c r="Z200" s="211"/>
      <c r="AA200" s="211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574" t="e">
        <f t="shared" si="210"/>
        <v>#DIV/0!</v>
      </c>
    </row>
    <row r="201" spans="1:43" ht="30" hidden="1">
      <c r="A201" s="117" t="s">
        <v>77</v>
      </c>
      <c r="B201" s="117" t="s">
        <v>78</v>
      </c>
      <c r="C201" s="222"/>
      <c r="D201" s="222"/>
      <c r="E201" s="222"/>
      <c r="F201" s="222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239" t="e">
        <f t="shared" si="206"/>
        <v>#DIV/0!</v>
      </c>
      <c r="W201" s="69"/>
      <c r="X201" s="211"/>
      <c r="Y201" s="211"/>
      <c r="Z201" s="211"/>
      <c r="AA201" s="211"/>
      <c r="AB201" s="242"/>
      <c r="AC201" s="242"/>
      <c r="AD201" s="242"/>
      <c r="AE201" s="242"/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574" t="e">
        <f t="shared" si="210"/>
        <v>#DIV/0!</v>
      </c>
    </row>
    <row r="202" spans="1:43" ht="15" hidden="1">
      <c r="A202" s="100" t="s">
        <v>99</v>
      </c>
      <c r="B202" s="186" t="s">
        <v>93</v>
      </c>
      <c r="C202" s="222"/>
      <c r="D202" s="222"/>
      <c r="E202" s="222"/>
      <c r="F202" s="222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239" t="e">
        <f t="shared" si="206"/>
        <v>#DIV/0!</v>
      </c>
      <c r="W202" s="69"/>
      <c r="X202" s="211"/>
      <c r="Y202" s="211"/>
      <c r="Z202" s="211"/>
      <c r="AA202" s="211"/>
      <c r="AB202" s="242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2"/>
      <c r="AP202" s="242"/>
      <c r="AQ202" s="574" t="e">
        <f t="shared" si="210"/>
        <v>#DIV/0!</v>
      </c>
    </row>
    <row r="203" spans="1:43" ht="30" hidden="1">
      <c r="A203" s="117" t="s">
        <v>79</v>
      </c>
      <c r="B203" s="117" t="s">
        <v>80</v>
      </c>
      <c r="C203" s="222"/>
      <c r="D203" s="222"/>
      <c r="E203" s="222"/>
      <c r="F203" s="222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239" t="e">
        <f t="shared" si="206"/>
        <v>#DIV/0!</v>
      </c>
      <c r="W203" s="69"/>
      <c r="X203" s="211"/>
      <c r="Y203" s="211"/>
      <c r="Z203" s="211"/>
      <c r="AA203" s="211"/>
      <c r="AB203" s="242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  <c r="AP203" s="242"/>
      <c r="AQ203" s="574" t="e">
        <f t="shared" si="210"/>
        <v>#DIV/0!</v>
      </c>
    </row>
    <row r="204" spans="1:43" ht="15" hidden="1">
      <c r="A204" s="100" t="s">
        <v>99</v>
      </c>
      <c r="B204" s="186" t="s">
        <v>93</v>
      </c>
      <c r="C204" s="222"/>
      <c r="D204" s="222"/>
      <c r="E204" s="222"/>
      <c r="F204" s="222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239" t="e">
        <f t="shared" si="206"/>
        <v>#DIV/0!</v>
      </c>
      <c r="W204" s="69"/>
      <c r="X204" s="211"/>
      <c r="Y204" s="211"/>
      <c r="Z204" s="211"/>
      <c r="AA204" s="211"/>
      <c r="AB204" s="242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  <c r="AP204" s="242"/>
      <c r="AQ204" s="574" t="e">
        <f t="shared" si="210"/>
        <v>#DIV/0!</v>
      </c>
    </row>
    <row r="205" spans="1:43" ht="31.5">
      <c r="A205" s="70" t="s">
        <v>127</v>
      </c>
      <c r="B205" s="70" t="s">
        <v>130</v>
      </c>
      <c r="C205" s="144">
        <f>C206+C207+C208+C209+C211</f>
        <v>85.1</v>
      </c>
      <c r="D205" s="144">
        <f>D206+D207+D208+D209+D211</f>
        <v>121.9</v>
      </c>
      <c r="E205" s="144">
        <f>E206+E207+E208+E209+E211</f>
        <v>241.41099999999997</v>
      </c>
      <c r="F205" s="144">
        <f>F206+F207+F208+F209+F211</f>
        <v>182.19708000000003</v>
      </c>
      <c r="G205" s="75">
        <v>217.00834600000002</v>
      </c>
      <c r="H205" s="144">
        <f aca="true" t="shared" si="211" ref="H205:U205">H206+H207+H208+H209+H211</f>
        <v>59.7</v>
      </c>
      <c r="I205" s="144">
        <f t="shared" si="211"/>
        <v>94.4</v>
      </c>
      <c r="J205" s="144">
        <f t="shared" si="211"/>
        <v>52.58</v>
      </c>
      <c r="K205" s="144">
        <f t="shared" si="211"/>
        <v>40.95784</v>
      </c>
      <c r="L205" s="144">
        <f t="shared" si="211"/>
        <v>54</v>
      </c>
      <c r="M205" s="144">
        <f t="shared" si="211"/>
        <v>68.1</v>
      </c>
      <c r="N205" s="144">
        <f t="shared" si="211"/>
        <v>117.94297599999999</v>
      </c>
      <c r="O205" s="144">
        <f t="shared" si="211"/>
        <v>133.70201</v>
      </c>
      <c r="P205" s="144">
        <f t="shared" si="211"/>
        <v>99.19464199999999</v>
      </c>
      <c r="Q205" s="144">
        <f t="shared" si="211"/>
        <v>86.065688</v>
      </c>
      <c r="R205" s="144">
        <f t="shared" si="211"/>
        <v>135.338892</v>
      </c>
      <c r="S205" s="144">
        <f t="shared" si="211"/>
        <v>115.981582</v>
      </c>
      <c r="T205" s="144">
        <f t="shared" si="211"/>
        <v>131.079743</v>
      </c>
      <c r="U205" s="144">
        <f t="shared" si="211"/>
        <v>125.968164</v>
      </c>
      <c r="V205" s="443">
        <f>U205/T205-1</f>
        <v>-0.038995949206278246</v>
      </c>
      <c r="W205" s="288"/>
      <c r="X205" s="213">
        <f>X206+X207+X208+X209+X211</f>
        <v>85.3</v>
      </c>
      <c r="Y205" s="213">
        <f>Y206+Y207+Y208+Y209+Y211</f>
        <v>121.79999999999998</v>
      </c>
      <c r="Z205" s="213">
        <f>Z206+Z207+Z208+Z209+Z211</f>
        <v>241.18699999999998</v>
      </c>
      <c r="AA205" s="213">
        <f>AA206+AA207+AA208+AA209+AA211</f>
        <v>182.20373</v>
      </c>
      <c r="AB205" s="238">
        <v>107.488572</v>
      </c>
      <c r="AC205" s="213">
        <f aca="true" t="shared" si="212" ref="AC205:AK205">AC206+AC207+AC208+AC209+AC211</f>
        <v>59.7</v>
      </c>
      <c r="AD205" s="213">
        <f t="shared" si="212"/>
        <v>94.5</v>
      </c>
      <c r="AE205" s="213">
        <f t="shared" si="212"/>
        <v>52.7</v>
      </c>
      <c r="AF205" s="213">
        <f t="shared" si="212"/>
        <v>40.699999999999996</v>
      </c>
      <c r="AG205" s="213">
        <f t="shared" si="212"/>
        <v>53.900000000000006</v>
      </c>
      <c r="AH205" s="213">
        <f t="shared" si="212"/>
        <v>68.4</v>
      </c>
      <c r="AI205" s="213">
        <f t="shared" si="212"/>
        <v>117.56844999999998</v>
      </c>
      <c r="AJ205" s="213">
        <f t="shared" si="212"/>
        <v>133.69672</v>
      </c>
      <c r="AK205" s="213">
        <f t="shared" si="212"/>
        <v>99.191394</v>
      </c>
      <c r="AL205" s="213">
        <f>AL206+AL207+AL208+AL209+AL211</f>
        <v>86.324464</v>
      </c>
      <c r="AM205" s="213">
        <f>AM206+AM207+AM208+AM209+AM211</f>
        <v>135.8529</v>
      </c>
      <c r="AN205" s="213">
        <f>AN206+AN207+AN208+AN209+AN211</f>
        <v>116.23042000000001</v>
      </c>
      <c r="AO205" s="213">
        <f>AO206+AO207+AO208+AO209+AO211</f>
        <v>130.912711</v>
      </c>
      <c r="AP205" s="213">
        <f>AP206+AP207+AP208+AP209+AP211</f>
        <v>125.88942</v>
      </c>
      <c r="AQ205" s="573">
        <f>AP205/AO205-1</f>
        <v>-0.03837130070585737</v>
      </c>
    </row>
    <row r="206" spans="1:43" ht="30">
      <c r="A206" s="130" t="s">
        <v>131</v>
      </c>
      <c r="B206" s="117" t="s">
        <v>82</v>
      </c>
      <c r="C206" s="222">
        <v>26.1</v>
      </c>
      <c r="D206" s="222">
        <v>46.5</v>
      </c>
      <c r="E206" s="222">
        <f>'пр-во '!O21</f>
        <v>49.7</v>
      </c>
      <c r="F206" s="222">
        <f>'пр-во '!O8</f>
        <v>60.70647</v>
      </c>
      <c r="G206" s="185">
        <v>0</v>
      </c>
      <c r="H206" s="185">
        <v>0.7</v>
      </c>
      <c r="I206" s="157">
        <v>6.8</v>
      </c>
      <c r="J206" s="157">
        <v>9.38</v>
      </c>
      <c r="K206" s="157">
        <v>1.9374</v>
      </c>
      <c r="L206" s="157">
        <v>13.5</v>
      </c>
      <c r="M206" s="157">
        <v>11.4</v>
      </c>
      <c r="N206" s="157">
        <v>5.1</v>
      </c>
      <c r="O206" s="157">
        <v>2.189</v>
      </c>
      <c r="P206" s="157">
        <v>12.457</v>
      </c>
      <c r="Q206" s="157">
        <v>7.5858</v>
      </c>
      <c r="R206" s="157">
        <v>19.311799999999998</v>
      </c>
      <c r="S206" s="157">
        <v>36.003099999999996</v>
      </c>
      <c r="T206" s="157">
        <v>26.2949</v>
      </c>
      <c r="U206" s="157">
        <v>26.3692</v>
      </c>
      <c r="V206" s="428">
        <f>U206/T206-1</f>
        <v>0.0028256429954098827</v>
      </c>
      <c r="W206" s="69"/>
      <c r="X206" s="211">
        <v>26.2</v>
      </c>
      <c r="Y206" s="211">
        <v>46.4</v>
      </c>
      <c r="Z206" s="211">
        <f>'отгр.  2008'!O22</f>
        <v>49.727</v>
      </c>
      <c r="AA206" s="211">
        <f>'отгр.  2008'!O8</f>
        <v>60.75302000000001</v>
      </c>
      <c r="AB206" s="242">
        <v>0</v>
      </c>
      <c r="AC206" s="242">
        <v>0.7</v>
      </c>
      <c r="AD206" s="242">
        <v>6.8</v>
      </c>
      <c r="AE206" s="242">
        <v>9.4</v>
      </c>
      <c r="AF206" s="279">
        <v>1.9</v>
      </c>
      <c r="AG206" s="279">
        <v>13.5</v>
      </c>
      <c r="AH206" s="279">
        <v>11.4</v>
      </c>
      <c r="AI206" s="279">
        <v>5.1</v>
      </c>
      <c r="AJ206" s="279">
        <v>2.189</v>
      </c>
      <c r="AK206" s="279">
        <v>12.457</v>
      </c>
      <c r="AL206" s="279">
        <v>7.5858</v>
      </c>
      <c r="AM206" s="279">
        <v>20.0116</v>
      </c>
      <c r="AN206" s="242">
        <v>36.1411</v>
      </c>
      <c r="AO206" s="242">
        <v>26.2309</v>
      </c>
      <c r="AP206" s="242">
        <v>26.3692</v>
      </c>
      <c r="AQ206" s="575">
        <f>AP206/AO206-1</f>
        <v>0.005272407732864748</v>
      </c>
    </row>
    <row r="207" spans="1:43" ht="15">
      <c r="A207" s="117" t="s">
        <v>83</v>
      </c>
      <c r="B207" s="117" t="s">
        <v>19</v>
      </c>
      <c r="C207" s="222">
        <v>24.7</v>
      </c>
      <c r="D207" s="222">
        <v>42.8</v>
      </c>
      <c r="E207" s="222">
        <v>157.611</v>
      </c>
      <c r="F207" s="222">
        <v>95.69061</v>
      </c>
      <c r="G207" s="185">
        <v>80.53369</v>
      </c>
      <c r="H207" s="185">
        <v>29.5</v>
      </c>
      <c r="I207" s="157">
        <v>50.4</v>
      </c>
      <c r="J207" s="157">
        <v>6.9</v>
      </c>
      <c r="K207" s="157">
        <v>1.52044</v>
      </c>
      <c r="L207" s="157">
        <v>9.8</v>
      </c>
      <c r="M207" s="157">
        <v>23</v>
      </c>
      <c r="N207" s="157">
        <v>84.16844999999999</v>
      </c>
      <c r="O207" s="157">
        <v>99.37564</v>
      </c>
      <c r="P207" s="157">
        <v>55.963480000000004</v>
      </c>
      <c r="Q207" s="157">
        <v>54.46336</v>
      </c>
      <c r="R207" s="157">
        <v>82.68085</v>
      </c>
      <c r="S207" s="157">
        <v>45.0366</v>
      </c>
      <c r="T207" s="157">
        <v>71.73138</v>
      </c>
      <c r="U207" s="157">
        <v>61.26028</v>
      </c>
      <c r="V207" s="428">
        <f>U207/T207-1</f>
        <v>-0.1459765586553612</v>
      </c>
      <c r="W207" s="69"/>
      <c r="X207" s="211">
        <v>24.7</v>
      </c>
      <c r="Y207" s="211">
        <v>42.8</v>
      </c>
      <c r="Z207" s="211">
        <f>'отгр.  2008'!R22</f>
        <v>157.611</v>
      </c>
      <c r="AA207" s="211">
        <f>'отгр.  2008'!R8</f>
        <v>95.69061</v>
      </c>
      <c r="AB207" s="242">
        <v>80.53369</v>
      </c>
      <c r="AC207" s="242">
        <v>29.5</v>
      </c>
      <c r="AD207" s="242">
        <v>50.4</v>
      </c>
      <c r="AE207" s="242">
        <v>6.9</v>
      </c>
      <c r="AF207" s="279">
        <v>1.5</v>
      </c>
      <c r="AG207" s="279">
        <v>9.8</v>
      </c>
      <c r="AH207" s="279">
        <v>23</v>
      </c>
      <c r="AI207" s="279">
        <v>84.16844999999999</v>
      </c>
      <c r="AJ207" s="279">
        <v>99.37564</v>
      </c>
      <c r="AK207" s="279">
        <v>55.963480000000004</v>
      </c>
      <c r="AL207" s="279">
        <v>54.46336</v>
      </c>
      <c r="AM207" s="279">
        <v>82.68085</v>
      </c>
      <c r="AN207" s="242">
        <v>45.0366</v>
      </c>
      <c r="AO207" s="242">
        <v>71.73138</v>
      </c>
      <c r="AP207" s="242">
        <v>61.26028</v>
      </c>
      <c r="AQ207" s="575">
        <f>AP207/AO207-1</f>
        <v>-0.1459765586553612</v>
      </c>
    </row>
    <row r="208" spans="1:43" ht="15">
      <c r="A208" s="117" t="s">
        <v>84</v>
      </c>
      <c r="B208" s="117" t="s">
        <v>85</v>
      </c>
      <c r="C208" s="222">
        <v>34.3</v>
      </c>
      <c r="D208" s="222">
        <v>32.6</v>
      </c>
      <c r="E208" s="222">
        <f>'пр-во '!T21</f>
        <v>34.1</v>
      </c>
      <c r="F208" s="222">
        <f>'пр-во '!T8</f>
        <v>25.8</v>
      </c>
      <c r="G208" s="185">
        <v>26.955946</v>
      </c>
      <c r="H208" s="185">
        <v>29.5</v>
      </c>
      <c r="I208" s="157">
        <v>37.2</v>
      </c>
      <c r="J208" s="157">
        <v>36.3</v>
      </c>
      <c r="K208" s="157">
        <v>37.5</v>
      </c>
      <c r="L208" s="157">
        <v>30.7</v>
      </c>
      <c r="M208" s="157">
        <v>33.7</v>
      </c>
      <c r="N208" s="157">
        <v>28.674526</v>
      </c>
      <c r="O208" s="157">
        <v>32.13737</v>
      </c>
      <c r="P208" s="157">
        <v>30.774161999999997</v>
      </c>
      <c r="Q208" s="222">
        <v>24.016528</v>
      </c>
      <c r="R208" s="222">
        <v>33.346242</v>
      </c>
      <c r="S208" s="222">
        <v>34.941882</v>
      </c>
      <c r="T208" s="222">
        <v>33.053463</v>
      </c>
      <c r="U208" s="222">
        <v>38.338684</v>
      </c>
      <c r="V208" s="428">
        <f>U208/T208-1</f>
        <v>0.1598991609441951</v>
      </c>
      <c r="W208" s="69"/>
      <c r="X208" s="211">
        <v>34.4</v>
      </c>
      <c r="Y208" s="211">
        <v>32.6</v>
      </c>
      <c r="Z208" s="211">
        <f>'отгр.  2008'!T22</f>
        <v>33.849</v>
      </c>
      <c r="AA208" s="211">
        <f>'отгр.  2008'!T8</f>
        <v>25.760099999999998</v>
      </c>
      <c r="AB208" s="242">
        <v>26.954882</v>
      </c>
      <c r="AC208" s="242">
        <v>29.5</v>
      </c>
      <c r="AD208" s="242">
        <v>37.3</v>
      </c>
      <c r="AE208" s="242">
        <v>36.4</v>
      </c>
      <c r="AF208" s="242">
        <v>37.3</v>
      </c>
      <c r="AG208" s="242">
        <v>30.6</v>
      </c>
      <c r="AH208" s="242">
        <v>34</v>
      </c>
      <c r="AI208" s="242">
        <v>28.3</v>
      </c>
      <c r="AJ208" s="242">
        <v>32.13208</v>
      </c>
      <c r="AK208" s="242">
        <v>30.770914</v>
      </c>
      <c r="AL208" s="242">
        <v>24.275304</v>
      </c>
      <c r="AM208" s="242">
        <v>33.16045</v>
      </c>
      <c r="AN208" s="242">
        <v>35.05272</v>
      </c>
      <c r="AO208" s="242">
        <v>32.950431</v>
      </c>
      <c r="AP208" s="242">
        <v>38.25994</v>
      </c>
      <c r="AQ208" s="575">
        <f>AP208/AO208-1</f>
        <v>0.16113625342260307</v>
      </c>
    </row>
    <row r="209" spans="1:43" ht="15" hidden="1">
      <c r="A209" s="117" t="s">
        <v>86</v>
      </c>
      <c r="B209" s="117" t="s">
        <v>87</v>
      </c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39" t="e">
        <f t="shared" si="206"/>
        <v>#DIV/0!</v>
      </c>
      <c r="W209" s="69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581" t="e">
        <f>AH209/AG209-1</f>
        <v>#DIV/0!</v>
      </c>
    </row>
    <row r="210" spans="1:43" ht="15" hidden="1">
      <c r="A210" s="100" t="s">
        <v>99</v>
      </c>
      <c r="B210" s="186" t="s">
        <v>93</v>
      </c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39" t="e">
        <f t="shared" si="206"/>
        <v>#DIV/0!</v>
      </c>
      <c r="W210" s="69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581" t="e">
        <f>AH210/AG210-1</f>
        <v>#DIV/0!</v>
      </c>
    </row>
    <row r="211" spans="1:43" ht="15" hidden="1">
      <c r="A211" s="117" t="s">
        <v>88</v>
      </c>
      <c r="B211" s="117" t="s">
        <v>89</v>
      </c>
      <c r="C211" s="222"/>
      <c r="D211" s="222"/>
      <c r="E211" s="244"/>
      <c r="F211" s="244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39" t="e">
        <f t="shared" si="206"/>
        <v>#DIV/0!</v>
      </c>
      <c r="W211" s="235"/>
      <c r="X211" s="211"/>
      <c r="Y211" s="211"/>
      <c r="Z211" s="211"/>
      <c r="AA211" s="211"/>
      <c r="AB211" s="211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/>
      <c r="AO211" s="286"/>
      <c r="AP211" s="286"/>
      <c r="AQ211" s="582" t="e">
        <f>AH211/AG211-1</f>
        <v>#DIV/0!</v>
      </c>
    </row>
    <row r="212" spans="1:43" ht="15.75">
      <c r="A212" s="98" t="s">
        <v>113</v>
      </c>
      <c r="B212" s="98" t="s">
        <v>112</v>
      </c>
      <c r="C212" s="291">
        <f aca="true" t="shared" si="213" ref="C212:I212">C180-C181+C182-C183+C189-C190+C205</f>
        <v>1430.4</v>
      </c>
      <c r="D212" s="291">
        <f t="shared" si="213"/>
        <v>1315.9</v>
      </c>
      <c r="E212" s="291">
        <f t="shared" si="213"/>
        <v>1570.6109999999999</v>
      </c>
      <c r="F212" s="291">
        <f t="shared" si="213"/>
        <v>1201.09708</v>
      </c>
      <c r="G212" s="291">
        <f t="shared" si="213"/>
        <v>1743.4865260000001</v>
      </c>
      <c r="H212" s="291">
        <f t="shared" si="213"/>
        <v>1468.5862400000003</v>
      </c>
      <c r="I212" s="291">
        <f t="shared" si="213"/>
        <v>1649.1000000000001</v>
      </c>
      <c r="J212" s="291">
        <f aca="true" t="shared" si="214" ref="J212:U212">J180-J181+J182-J183+J189-J190+J205</f>
        <v>1460.4699999999998</v>
      </c>
      <c r="K212" s="291">
        <f t="shared" si="214"/>
        <v>1697.119025</v>
      </c>
      <c r="L212" s="291">
        <f t="shared" si="214"/>
        <v>1485</v>
      </c>
      <c r="M212" s="291">
        <f t="shared" si="214"/>
        <v>1806.4999999999998</v>
      </c>
      <c r="N212" s="291">
        <f t="shared" si="214"/>
        <v>1839.5429760000002</v>
      </c>
      <c r="O212" s="291">
        <f t="shared" si="214"/>
        <v>2106.8678899999995</v>
      </c>
      <c r="P212" s="291">
        <f t="shared" si="214"/>
        <v>2027.3406469999998</v>
      </c>
      <c r="Q212" s="291">
        <f t="shared" si="214"/>
        <v>1605.2558779999997</v>
      </c>
      <c r="R212" s="291">
        <f t="shared" si="214"/>
        <v>2178.9531230000002</v>
      </c>
      <c r="S212" s="291">
        <f t="shared" si="214"/>
        <v>2172.5013729999996</v>
      </c>
      <c r="T212" s="291">
        <f t="shared" si="214"/>
        <v>2138.5726430000004</v>
      </c>
      <c r="U212" s="291">
        <f t="shared" si="214"/>
        <v>2346.283118</v>
      </c>
      <c r="V212" s="443">
        <f>U212/T212-1</f>
        <v>0.09712575145851576</v>
      </c>
      <c r="X212" s="292">
        <f aca="true" t="shared" si="215" ref="X212:AD212">X180-X181+X182-X183+X189-X190+X205</f>
        <v>1409.8999999999999</v>
      </c>
      <c r="Y212" s="292">
        <f t="shared" si="215"/>
        <v>1322.8</v>
      </c>
      <c r="Z212" s="292">
        <f t="shared" si="215"/>
        <v>1560.083</v>
      </c>
      <c r="AA212" s="292">
        <f t="shared" si="215"/>
        <v>1195.973866</v>
      </c>
      <c r="AB212" s="292">
        <f t="shared" si="215"/>
        <v>1654.961254</v>
      </c>
      <c r="AC212" s="292">
        <f t="shared" si="215"/>
        <v>1435.1000000000001</v>
      </c>
      <c r="AD212" s="292">
        <f t="shared" si="215"/>
        <v>1673.9481540000002</v>
      </c>
      <c r="AE212" s="292">
        <f aca="true" t="shared" si="216" ref="AE212:AK212">AE180-AE181+AE182-AE183+AE189-AE190+AE205</f>
        <v>1454.0000000000002</v>
      </c>
      <c r="AF212" s="292">
        <f t="shared" si="216"/>
        <v>1721.1793140000002</v>
      </c>
      <c r="AG212" s="292">
        <f t="shared" si="216"/>
        <v>1488.9</v>
      </c>
      <c r="AH212" s="292">
        <f t="shared" si="216"/>
        <v>1801.41178</v>
      </c>
      <c r="AI212" s="292">
        <f t="shared" si="216"/>
        <v>1832.86845</v>
      </c>
      <c r="AJ212" s="292">
        <f t="shared" si="216"/>
        <v>2054.79742</v>
      </c>
      <c r="AK212" s="292">
        <f t="shared" si="216"/>
        <v>2068.9105440000003</v>
      </c>
      <c r="AL212" s="292">
        <f>AL180-AL181+AL182-AL183+AL189-AL190+AL205</f>
        <v>1621.980034</v>
      </c>
      <c r="AM212" s="292">
        <f>AM180-AM181+AM182-AM183+AM189-AM190+AM205</f>
        <v>2172.54203</v>
      </c>
      <c r="AN212" s="292">
        <f>AN180-AN181+AN182-AN183+AN189-AN190+AN205</f>
        <v>2167.8761035999996</v>
      </c>
      <c r="AO212" s="292">
        <f>AO180-AO181+AO182-AO183+AO189-AO190+AO205</f>
        <v>2040.507897</v>
      </c>
      <c r="AP212" s="292">
        <f>AP180-AP181+AP182-AP183+AP189-AP190+AP205</f>
        <v>2331.6287045</v>
      </c>
      <c r="AQ212" s="576">
        <f>AP212/AO212-1</f>
        <v>0.14267075757364744</v>
      </c>
    </row>
    <row r="213" spans="7:21" ht="15"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235"/>
      <c r="U213" s="235"/>
    </row>
    <row r="214" spans="7:21" ht="15"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</row>
    <row r="215" spans="1:43" ht="15.75">
      <c r="A215" s="654" t="s">
        <v>152</v>
      </c>
      <c r="B215" s="654" t="s">
        <v>153</v>
      </c>
      <c r="C215" s="655" t="s">
        <v>52</v>
      </c>
      <c r="D215" s="655"/>
      <c r="E215" s="655"/>
      <c r="F215" s="655"/>
      <c r="G215" s="655"/>
      <c r="H215" s="655"/>
      <c r="I215" s="655"/>
      <c r="J215" s="655"/>
      <c r="K215" s="655"/>
      <c r="L215" s="655"/>
      <c r="M215" s="655"/>
      <c r="N215" s="655"/>
      <c r="O215" s="655"/>
      <c r="P215" s="655"/>
      <c r="Q215" s="655"/>
      <c r="R215" s="655"/>
      <c r="S215" s="655"/>
      <c r="T215" s="655"/>
      <c r="U215" s="655"/>
      <c r="V215" s="655"/>
      <c r="W215" s="210"/>
      <c r="X215" s="656" t="s">
        <v>188</v>
      </c>
      <c r="Y215" s="656"/>
      <c r="Z215" s="656"/>
      <c r="AA215" s="656"/>
      <c r="AB215" s="656"/>
      <c r="AC215" s="656"/>
      <c r="AD215" s="656"/>
      <c r="AE215" s="656"/>
      <c r="AF215" s="656"/>
      <c r="AG215" s="656"/>
      <c r="AH215" s="656"/>
      <c r="AI215" s="656"/>
      <c r="AJ215" s="656"/>
      <c r="AK215" s="656"/>
      <c r="AL215" s="656"/>
      <c r="AM215" s="656"/>
      <c r="AN215" s="656"/>
      <c r="AO215" s="656"/>
      <c r="AP215" s="656"/>
      <c r="AQ215" s="656"/>
    </row>
    <row r="216" spans="1:43" ht="15.75">
      <c r="A216" s="654"/>
      <c r="B216" s="654"/>
      <c r="C216" s="655" t="s">
        <v>54</v>
      </c>
      <c r="D216" s="655"/>
      <c r="E216" s="655"/>
      <c r="F216" s="655"/>
      <c r="G216" s="655"/>
      <c r="H216" s="655"/>
      <c r="I216" s="655"/>
      <c r="J216" s="655"/>
      <c r="K216" s="655"/>
      <c r="L216" s="655"/>
      <c r="M216" s="655"/>
      <c r="N216" s="655"/>
      <c r="O216" s="655"/>
      <c r="P216" s="655"/>
      <c r="Q216" s="655"/>
      <c r="R216" s="655"/>
      <c r="S216" s="655"/>
      <c r="T216" s="655"/>
      <c r="U216" s="655"/>
      <c r="V216" s="655"/>
      <c r="W216" s="210"/>
      <c r="X216" s="656" t="s">
        <v>180</v>
      </c>
      <c r="Y216" s="656"/>
      <c r="Z216" s="656"/>
      <c r="AA216" s="656"/>
      <c r="AB216" s="656"/>
      <c r="AC216" s="656"/>
      <c r="AD216" s="656"/>
      <c r="AE216" s="656"/>
      <c r="AF216" s="656"/>
      <c r="AG216" s="656"/>
      <c r="AH216" s="656"/>
      <c r="AI216" s="656"/>
      <c r="AJ216" s="656"/>
      <c r="AK216" s="656"/>
      <c r="AL216" s="656"/>
      <c r="AM216" s="656"/>
      <c r="AN216" s="656"/>
      <c r="AO216" s="656"/>
      <c r="AP216" s="656"/>
      <c r="AQ216" s="656"/>
    </row>
    <row r="217" spans="1:43" s="68" customFormat="1" ht="15.75">
      <c r="A217" s="96" t="s">
        <v>55</v>
      </c>
      <c r="B217" s="96" t="s">
        <v>53</v>
      </c>
      <c r="C217" s="282">
        <v>2005</v>
      </c>
      <c r="D217" s="282">
        <v>2006</v>
      </c>
      <c r="E217" s="282">
        <v>2007</v>
      </c>
      <c r="F217" s="282">
        <v>2008</v>
      </c>
      <c r="G217" s="282">
        <v>2009</v>
      </c>
      <c r="H217" s="282">
        <v>2010</v>
      </c>
      <c r="I217" s="282">
        <v>2011</v>
      </c>
      <c r="J217" s="282">
        <v>2012</v>
      </c>
      <c r="K217" s="282">
        <v>2013</v>
      </c>
      <c r="L217" s="282">
        <v>2014</v>
      </c>
      <c r="M217" s="282">
        <v>2015</v>
      </c>
      <c r="N217" s="282">
        <v>2016</v>
      </c>
      <c r="O217" s="282">
        <v>2017</v>
      </c>
      <c r="P217" s="282">
        <v>2018</v>
      </c>
      <c r="Q217" s="282">
        <v>2019</v>
      </c>
      <c r="R217" s="282">
        <v>2020</v>
      </c>
      <c r="S217" s="282">
        <v>2021</v>
      </c>
      <c r="T217" s="282">
        <v>2022</v>
      </c>
      <c r="U217" s="282">
        <v>2023</v>
      </c>
      <c r="V217" s="282" t="s">
        <v>102</v>
      </c>
      <c r="W217" s="300"/>
      <c r="X217" s="283">
        <v>2005</v>
      </c>
      <c r="Y217" s="283">
        <v>2006</v>
      </c>
      <c r="Z217" s="283">
        <v>2007</v>
      </c>
      <c r="AA217" s="283">
        <v>2008</v>
      </c>
      <c r="AB217" s="283">
        <v>2009</v>
      </c>
      <c r="AC217" s="283">
        <v>2010</v>
      </c>
      <c r="AD217" s="283">
        <v>2011</v>
      </c>
      <c r="AE217" s="283">
        <v>2012</v>
      </c>
      <c r="AF217" s="283">
        <v>2013</v>
      </c>
      <c r="AG217" s="380">
        <v>2014</v>
      </c>
      <c r="AH217" s="393">
        <v>2015</v>
      </c>
      <c r="AI217" s="424">
        <v>2016</v>
      </c>
      <c r="AJ217" s="495">
        <v>2017</v>
      </c>
      <c r="AK217" s="514">
        <v>2018</v>
      </c>
      <c r="AL217" s="554">
        <v>2019</v>
      </c>
      <c r="AM217" s="563">
        <v>2020</v>
      </c>
      <c r="AN217" s="608">
        <v>2021</v>
      </c>
      <c r="AO217" s="617">
        <v>2022</v>
      </c>
      <c r="AP217" s="620">
        <v>2023</v>
      </c>
      <c r="AQ217" s="283" t="s">
        <v>102</v>
      </c>
    </row>
    <row r="218" spans="1:43" ht="15.75">
      <c r="A218" s="96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282" t="s">
        <v>101</v>
      </c>
      <c r="W218" s="210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386" t="s">
        <v>101</v>
      </c>
    </row>
    <row r="219" spans="1:43" ht="15.75">
      <c r="A219" s="98" t="s">
        <v>154</v>
      </c>
      <c r="B219" s="98" t="s">
        <v>155</v>
      </c>
      <c r="C219" s="144"/>
      <c r="D219" s="144"/>
      <c r="E219" s="144"/>
      <c r="F219" s="144"/>
      <c r="G219" s="75"/>
      <c r="H219" s="75"/>
      <c r="I219" s="75"/>
      <c r="J219" s="75">
        <v>21.051</v>
      </c>
      <c r="K219" s="75">
        <v>641.625</v>
      </c>
      <c r="L219" s="75">
        <v>891.001</v>
      </c>
      <c r="M219" s="75">
        <v>1135.232</v>
      </c>
      <c r="N219" s="75">
        <v>1142.433</v>
      </c>
      <c r="O219" s="75">
        <v>1167.066</v>
      </c>
      <c r="P219" s="75">
        <f>1213579/1000</f>
        <v>1213.579</v>
      </c>
      <c r="Q219" s="75">
        <v>1084.491</v>
      </c>
      <c r="R219" s="75">
        <v>1182.417</v>
      </c>
      <c r="S219" s="75">
        <v>1255.07</v>
      </c>
      <c r="T219" s="75">
        <v>1170.38</v>
      </c>
      <c r="U219" s="75">
        <v>1164.179</v>
      </c>
      <c r="V219" s="443">
        <f>U219/T219-1</f>
        <v>-0.0052982791913737115</v>
      </c>
      <c r="W219" s="288"/>
      <c r="X219" s="213"/>
      <c r="Y219" s="213"/>
      <c r="Z219" s="213"/>
      <c r="AA219" s="213"/>
      <c r="AB219" s="83"/>
      <c r="AC219" s="83"/>
      <c r="AD219" s="83"/>
      <c r="AE219" s="83">
        <f>AE220</f>
        <v>21.051</v>
      </c>
      <c r="AF219" s="83">
        <f>11.513-3.9+AF220</f>
        <v>637.527</v>
      </c>
      <c r="AG219" s="83">
        <f>179.76+AG220</f>
        <v>897.3629999999999</v>
      </c>
      <c r="AH219" s="83">
        <f>355.97881+AH220</f>
        <v>1130.854101</v>
      </c>
      <c r="AI219" s="83">
        <f>339.45951+AI220</f>
        <v>1142.67726</v>
      </c>
      <c r="AJ219" s="83">
        <v>1157.65935</v>
      </c>
      <c r="AK219" s="83">
        <f>1216.7395</f>
        <v>1216.7395</v>
      </c>
      <c r="AL219" s="83">
        <v>1078.921</v>
      </c>
      <c r="AM219" s="83">
        <v>1190.90615</v>
      </c>
      <c r="AN219" s="83">
        <v>1252.7369500000002</v>
      </c>
      <c r="AO219" s="83">
        <v>1162.8119500000003</v>
      </c>
      <c r="AP219" s="83">
        <v>1165.668</v>
      </c>
      <c r="AQ219" s="573">
        <f>AP219/AO219-1</f>
        <v>0.0024561581087978457</v>
      </c>
    </row>
    <row r="220" spans="1:43" s="129" customFormat="1" ht="15">
      <c r="A220" s="100" t="s">
        <v>99</v>
      </c>
      <c r="B220" s="100" t="s">
        <v>93</v>
      </c>
      <c r="C220" s="217"/>
      <c r="D220" s="217"/>
      <c r="E220" s="217"/>
      <c r="F220" s="217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239"/>
      <c r="W220" s="289"/>
      <c r="X220" s="220"/>
      <c r="Y220" s="220"/>
      <c r="Z220" s="220"/>
      <c r="AA220" s="220"/>
      <c r="AB220" s="151"/>
      <c r="AC220" s="151"/>
      <c r="AD220" s="151"/>
      <c r="AE220" s="151">
        <v>21.051</v>
      </c>
      <c r="AF220" s="151">
        <v>629.914</v>
      </c>
      <c r="AG220" s="151">
        <v>717.603</v>
      </c>
      <c r="AH220" s="151">
        <v>774.875291</v>
      </c>
      <c r="AI220" s="151">
        <v>803.21775</v>
      </c>
      <c r="AJ220" s="151">
        <v>898.1476</v>
      </c>
      <c r="AK220" s="151">
        <v>950.003</v>
      </c>
      <c r="AL220" s="151">
        <v>792.28775</v>
      </c>
      <c r="AM220" s="151">
        <v>899.7183000000002</v>
      </c>
      <c r="AN220" s="151">
        <v>950.1241</v>
      </c>
      <c r="AO220" s="151">
        <v>930.82785</v>
      </c>
      <c r="AP220" s="151">
        <v>1037.1238</v>
      </c>
      <c r="AQ220" s="574"/>
    </row>
    <row r="221" spans="1:43" ht="15.75">
      <c r="A221" s="70" t="s">
        <v>157</v>
      </c>
      <c r="B221" s="70" t="s">
        <v>156</v>
      </c>
      <c r="C221" s="222"/>
      <c r="D221" s="222"/>
      <c r="E221" s="144"/>
      <c r="F221" s="144"/>
      <c r="G221" s="75"/>
      <c r="H221" s="75"/>
      <c r="I221" s="75"/>
      <c r="J221" s="75">
        <v>1238.517</v>
      </c>
      <c r="K221" s="75">
        <v>3162.488</v>
      </c>
      <c r="L221" s="75">
        <v>3133.732</v>
      </c>
      <c r="M221" s="75">
        <v>4805.82</v>
      </c>
      <c r="N221" s="75">
        <v>4358.976</v>
      </c>
      <c r="O221" s="75">
        <v>4506</v>
      </c>
      <c r="P221" s="75">
        <f>4481477/1000</f>
        <v>4481.477</v>
      </c>
      <c r="Q221" s="75">
        <v>4700.658</v>
      </c>
      <c r="R221" s="75">
        <f>4229.341+1388.033</f>
        <v>5617.374</v>
      </c>
      <c r="S221" s="75">
        <v>6597.999</v>
      </c>
      <c r="T221" s="75">
        <v>5095.712</v>
      </c>
      <c r="U221" s="75">
        <v>5453.964</v>
      </c>
      <c r="V221" s="443">
        <f>U221/T221-1</f>
        <v>0.0703046012019517</v>
      </c>
      <c r="W221" s="288"/>
      <c r="X221" s="211"/>
      <c r="Y221" s="211"/>
      <c r="Z221" s="213"/>
      <c r="AA221" s="213"/>
      <c r="AB221" s="83"/>
      <c r="AC221" s="83"/>
      <c r="AD221" s="83"/>
      <c r="AE221" s="83">
        <v>563.702</v>
      </c>
      <c r="AF221" s="83">
        <v>375.288</v>
      </c>
      <c r="AG221" s="83">
        <v>0</v>
      </c>
      <c r="AH221" s="83">
        <v>56.511</v>
      </c>
      <c r="AI221" s="83">
        <v>0</v>
      </c>
      <c r="AJ221" s="83">
        <v>0</v>
      </c>
      <c r="AK221" s="83">
        <v>0</v>
      </c>
      <c r="AL221" s="83">
        <v>0</v>
      </c>
      <c r="AM221" s="83">
        <v>0</v>
      </c>
      <c r="AN221" s="83">
        <v>0</v>
      </c>
      <c r="AO221" s="83">
        <v>0</v>
      </c>
      <c r="AP221" s="83">
        <v>0</v>
      </c>
      <c r="AQ221" s="573"/>
    </row>
    <row r="222" spans="1:43" ht="15">
      <c r="A222" s="100" t="s">
        <v>99</v>
      </c>
      <c r="B222" s="100" t="s">
        <v>93</v>
      </c>
      <c r="C222" s="217"/>
      <c r="D222" s="217"/>
      <c r="E222" s="217"/>
      <c r="F222" s="217"/>
      <c r="G222" s="181"/>
      <c r="H222" s="181"/>
      <c r="I222" s="181"/>
      <c r="J222" s="181">
        <v>131.936</v>
      </c>
      <c r="K222" s="181">
        <v>2334.822</v>
      </c>
      <c r="L222" s="181">
        <v>3200.655</v>
      </c>
      <c r="M222" s="181">
        <v>4522.974</v>
      </c>
      <c r="N222" s="181">
        <v>4449.275</v>
      </c>
      <c r="O222" s="181">
        <v>4620.309</v>
      </c>
      <c r="P222" s="181">
        <f>4909.405</f>
        <v>4909.405</v>
      </c>
      <c r="Q222" s="181">
        <v>5028.197</v>
      </c>
      <c r="R222" s="181">
        <v>5225.184</v>
      </c>
      <c r="S222" s="181">
        <v>5552.464</v>
      </c>
      <c r="T222" s="181">
        <v>5702.88</v>
      </c>
      <c r="U222" s="181">
        <v>5471.627</v>
      </c>
      <c r="V222" s="239"/>
      <c r="W222" s="69"/>
      <c r="X222" s="211"/>
      <c r="Y222" s="211"/>
      <c r="Z222" s="211"/>
      <c r="AA222" s="211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574"/>
    </row>
    <row r="223" spans="1:43" ht="15.75">
      <c r="A223" s="98" t="s">
        <v>113</v>
      </c>
      <c r="B223" s="98" t="s">
        <v>112</v>
      </c>
      <c r="C223" s="291"/>
      <c r="D223" s="291"/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291"/>
      <c r="R223" s="291"/>
      <c r="S223" s="291"/>
      <c r="T223" s="291"/>
      <c r="U223" s="291"/>
      <c r="V223" s="301"/>
      <c r="X223" s="292"/>
      <c r="Y223" s="292"/>
      <c r="Z223" s="292"/>
      <c r="AA223" s="292"/>
      <c r="AB223" s="292"/>
      <c r="AC223" s="292"/>
      <c r="AD223" s="292"/>
      <c r="AE223" s="292">
        <f aca="true" t="shared" si="217" ref="AE223:AP223">AE219-AE220+AE221</f>
        <v>563.702</v>
      </c>
      <c r="AF223" s="292">
        <f t="shared" si="217"/>
        <v>382.90100000000007</v>
      </c>
      <c r="AG223" s="292">
        <f t="shared" si="217"/>
        <v>179.76</v>
      </c>
      <c r="AH223" s="292">
        <f t="shared" si="217"/>
        <v>412.48981</v>
      </c>
      <c r="AI223" s="292">
        <f t="shared" si="217"/>
        <v>339.4595099999999</v>
      </c>
      <c r="AJ223" s="292">
        <f t="shared" si="217"/>
        <v>259.5117499999999</v>
      </c>
      <c r="AK223" s="292">
        <f t="shared" si="217"/>
        <v>266.73649999999986</v>
      </c>
      <c r="AL223" s="292">
        <f t="shared" si="217"/>
        <v>286.6332500000001</v>
      </c>
      <c r="AM223" s="292">
        <f t="shared" si="217"/>
        <v>291.1878499999998</v>
      </c>
      <c r="AN223" s="292">
        <f t="shared" si="217"/>
        <v>302.6128500000002</v>
      </c>
      <c r="AO223" s="292">
        <f t="shared" si="217"/>
        <v>231.98410000000024</v>
      </c>
      <c r="AP223" s="292">
        <f t="shared" si="217"/>
        <v>128.54419999999982</v>
      </c>
      <c r="AQ223" s="576">
        <f>AP223/AO223-1</f>
        <v>-0.445892196922118</v>
      </c>
    </row>
    <row r="224" spans="1:21" ht="15">
      <c r="A224" s="277" t="s">
        <v>192</v>
      </c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</row>
    <row r="225" spans="7:21" ht="15"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235"/>
      <c r="U225" s="235"/>
    </row>
    <row r="226" spans="7:21" ht="15"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235"/>
      <c r="U226" s="235"/>
    </row>
    <row r="227" spans="1:43" ht="15.75" hidden="1" outlineLevel="1">
      <c r="A227" s="654" t="s">
        <v>233</v>
      </c>
      <c r="B227" s="654" t="s">
        <v>234</v>
      </c>
      <c r="C227" s="655" t="s">
        <v>52</v>
      </c>
      <c r="D227" s="655"/>
      <c r="E227" s="655"/>
      <c r="F227" s="655"/>
      <c r="G227" s="655"/>
      <c r="H227" s="655"/>
      <c r="I227" s="655"/>
      <c r="J227" s="655"/>
      <c r="K227" s="655"/>
      <c r="L227" s="655"/>
      <c r="M227" s="655"/>
      <c r="N227" s="655"/>
      <c r="O227" s="655"/>
      <c r="P227" s="655"/>
      <c r="Q227" s="655"/>
      <c r="R227" s="655"/>
      <c r="S227" s="655"/>
      <c r="T227" s="655"/>
      <c r="U227" s="655"/>
      <c r="V227" s="655"/>
      <c r="W227" s="210"/>
      <c r="X227" s="656" t="s">
        <v>179</v>
      </c>
      <c r="Y227" s="656"/>
      <c r="Z227" s="656"/>
      <c r="AA227" s="656"/>
      <c r="AB227" s="656"/>
      <c r="AC227" s="656"/>
      <c r="AD227" s="656"/>
      <c r="AE227" s="656"/>
      <c r="AF227" s="656"/>
      <c r="AG227" s="656"/>
      <c r="AH227" s="656"/>
      <c r="AI227" s="656"/>
      <c r="AJ227" s="656"/>
      <c r="AK227" s="656"/>
      <c r="AL227" s="656"/>
      <c r="AM227" s="656"/>
      <c r="AN227" s="656"/>
      <c r="AO227" s="656"/>
      <c r="AP227" s="656"/>
      <c r="AQ227" s="656"/>
    </row>
    <row r="228" spans="1:43" ht="15.75" hidden="1" outlineLevel="1">
      <c r="A228" s="654"/>
      <c r="B228" s="654"/>
      <c r="C228" s="655" t="s">
        <v>54</v>
      </c>
      <c r="D228" s="655"/>
      <c r="E228" s="655"/>
      <c r="F228" s="655"/>
      <c r="G228" s="655"/>
      <c r="H228" s="655"/>
      <c r="I228" s="655"/>
      <c r="J228" s="655"/>
      <c r="K228" s="655"/>
      <c r="L228" s="655"/>
      <c r="M228" s="655"/>
      <c r="N228" s="655"/>
      <c r="O228" s="655"/>
      <c r="P228" s="655"/>
      <c r="Q228" s="655"/>
      <c r="R228" s="655"/>
      <c r="S228" s="655"/>
      <c r="T228" s="655"/>
      <c r="U228" s="655"/>
      <c r="V228" s="655"/>
      <c r="W228" s="210"/>
      <c r="X228" s="656" t="s">
        <v>214</v>
      </c>
      <c r="Y228" s="656"/>
      <c r="Z228" s="656"/>
      <c r="AA228" s="656"/>
      <c r="AB228" s="656"/>
      <c r="AC228" s="656"/>
      <c r="AD228" s="656"/>
      <c r="AE228" s="656"/>
      <c r="AF228" s="656"/>
      <c r="AG228" s="656"/>
      <c r="AH228" s="656"/>
      <c r="AI228" s="656"/>
      <c r="AJ228" s="656"/>
      <c r="AK228" s="656"/>
      <c r="AL228" s="656"/>
      <c r="AM228" s="656"/>
      <c r="AN228" s="656"/>
      <c r="AO228" s="656"/>
      <c r="AP228" s="656"/>
      <c r="AQ228" s="656"/>
    </row>
    <row r="229" spans="1:43" s="68" customFormat="1" ht="15.75" hidden="1" outlineLevel="1">
      <c r="A229" s="96" t="s">
        <v>55</v>
      </c>
      <c r="B229" s="96" t="s">
        <v>53</v>
      </c>
      <c r="C229" s="282">
        <v>2005</v>
      </c>
      <c r="D229" s="282">
        <v>2006</v>
      </c>
      <c r="E229" s="282">
        <v>2007</v>
      </c>
      <c r="F229" s="282">
        <v>2008</v>
      </c>
      <c r="G229" s="282">
        <v>2009</v>
      </c>
      <c r="H229" s="282">
        <v>2010</v>
      </c>
      <c r="I229" s="282">
        <v>2011</v>
      </c>
      <c r="J229" s="282">
        <v>2012</v>
      </c>
      <c r="K229" s="282">
        <v>2013</v>
      </c>
      <c r="L229" s="282">
        <v>2014</v>
      </c>
      <c r="M229" s="282">
        <v>2015</v>
      </c>
      <c r="N229" s="282">
        <v>2016</v>
      </c>
      <c r="O229" s="282">
        <v>2017</v>
      </c>
      <c r="P229" s="282">
        <v>2018</v>
      </c>
      <c r="Q229" s="282"/>
      <c r="R229" s="282"/>
      <c r="S229" s="282"/>
      <c r="T229" s="282"/>
      <c r="U229" s="282"/>
      <c r="V229" s="282" t="s">
        <v>102</v>
      </c>
      <c r="W229" s="300"/>
      <c r="X229" s="283">
        <v>2005</v>
      </c>
      <c r="Y229" s="283">
        <v>2006</v>
      </c>
      <c r="Z229" s="283">
        <v>2007</v>
      </c>
      <c r="AA229" s="283">
        <v>2008</v>
      </c>
      <c r="AB229" s="283">
        <v>2009</v>
      </c>
      <c r="AC229" s="283">
        <v>2010</v>
      </c>
      <c r="AD229" s="283">
        <v>2011</v>
      </c>
      <c r="AE229" s="283">
        <v>2012</v>
      </c>
      <c r="AF229" s="283">
        <v>2013</v>
      </c>
      <c r="AG229" s="380">
        <v>2014</v>
      </c>
      <c r="AH229" s="393">
        <v>2015</v>
      </c>
      <c r="AI229" s="424">
        <v>2016</v>
      </c>
      <c r="AJ229" s="495">
        <v>2017</v>
      </c>
      <c r="AK229" s="514">
        <v>2018</v>
      </c>
      <c r="AL229" s="554"/>
      <c r="AM229" s="563"/>
      <c r="AN229" s="608"/>
      <c r="AO229" s="617"/>
      <c r="AP229" s="620"/>
      <c r="AQ229" s="283" t="s">
        <v>102</v>
      </c>
    </row>
    <row r="230" spans="1:43" ht="15.75" hidden="1" outlineLevel="1">
      <c r="A230" s="96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282" t="s">
        <v>101</v>
      </c>
      <c r="W230" s="210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383" t="s">
        <v>101</v>
      </c>
    </row>
    <row r="231" spans="1:43" ht="15.75" hidden="1" outlineLevel="1">
      <c r="A231" s="98" t="s">
        <v>58</v>
      </c>
      <c r="B231" s="98" t="s">
        <v>2</v>
      </c>
      <c r="C231" s="144">
        <f>97.78435+56.20482</f>
        <v>153.98917</v>
      </c>
      <c r="D231" s="144">
        <f>96.0331+8.31235</f>
        <v>104.34545</v>
      </c>
      <c r="E231" s="144">
        <f>'пр-во '!J22</f>
        <v>101.5367</v>
      </c>
      <c r="F231" s="144">
        <f>'пр-во '!J9</f>
        <v>63.8091</v>
      </c>
      <c r="G231" s="75">
        <v>59.305</v>
      </c>
      <c r="H231" s="75">
        <v>98.1</v>
      </c>
      <c r="I231" s="75">
        <v>89.8</v>
      </c>
      <c r="J231" s="75">
        <v>88.4</v>
      </c>
      <c r="K231" s="75">
        <v>80.898</v>
      </c>
      <c r="L231" s="75">
        <v>74.9</v>
      </c>
      <c r="M231" s="75">
        <v>57.345</v>
      </c>
      <c r="N231" s="75"/>
      <c r="O231" s="75"/>
      <c r="P231" s="75"/>
      <c r="Q231" s="75"/>
      <c r="R231" s="75"/>
      <c r="S231" s="75"/>
      <c r="T231" s="75"/>
      <c r="U231" s="75"/>
      <c r="V231" s="301"/>
      <c r="W231" s="288"/>
      <c r="X231" s="213">
        <f>19.7189+5.82022</f>
        <v>25.53912</v>
      </c>
      <c r="Y231" s="213">
        <f>23.76506+1.09249</f>
        <v>24.85755</v>
      </c>
      <c r="Z231" s="213">
        <f>'отгр.  2008'!J23</f>
        <v>18.93</v>
      </c>
      <c r="AA231" s="213">
        <f>'отгр.  2008'!J9</f>
        <v>16.9477</v>
      </c>
      <c r="AB231" s="83">
        <v>20.284</v>
      </c>
      <c r="AC231" s="83">
        <v>24.4</v>
      </c>
      <c r="AD231" s="83">
        <v>15.2</v>
      </c>
      <c r="AE231" s="83">
        <v>9.7</v>
      </c>
      <c r="AF231" s="83">
        <v>17.7</v>
      </c>
      <c r="AG231" s="83">
        <v>18.5</v>
      </c>
      <c r="AH231" s="83">
        <v>22.351</v>
      </c>
      <c r="AI231" s="83"/>
      <c r="AJ231" s="83"/>
      <c r="AK231" s="83"/>
      <c r="AL231" s="83"/>
      <c r="AM231" s="83"/>
      <c r="AN231" s="83"/>
      <c r="AO231" s="83"/>
      <c r="AP231" s="83"/>
      <c r="AQ231" s="293"/>
    </row>
    <row r="232" spans="1:43" s="129" customFormat="1" ht="15" hidden="1" outlineLevel="1">
      <c r="A232" s="100" t="s">
        <v>99</v>
      </c>
      <c r="B232" s="100" t="s">
        <v>93</v>
      </c>
      <c r="C232" s="217">
        <v>135.05917</v>
      </c>
      <c r="D232" s="217">
        <v>87.39775</v>
      </c>
      <c r="E232" s="217">
        <v>82.60669999999999</v>
      </c>
      <c r="F232" s="217">
        <v>46.8614</v>
      </c>
      <c r="G232" s="181">
        <v>39.021</v>
      </c>
      <c r="H232" s="181">
        <v>73.7</v>
      </c>
      <c r="I232" s="181">
        <v>74.6</v>
      </c>
      <c r="J232" s="181">
        <v>78.7</v>
      </c>
      <c r="K232" s="181">
        <v>63.19799999999999</v>
      </c>
      <c r="L232" s="181">
        <v>56.4</v>
      </c>
      <c r="M232" s="181">
        <v>34.994</v>
      </c>
      <c r="N232" s="181"/>
      <c r="O232" s="181"/>
      <c r="P232" s="181"/>
      <c r="Q232" s="181"/>
      <c r="R232" s="181"/>
      <c r="S232" s="181"/>
      <c r="T232" s="181"/>
      <c r="U232" s="181"/>
      <c r="V232" s="239"/>
      <c r="W232" s="289"/>
      <c r="X232" s="211"/>
      <c r="Y232" s="211"/>
      <c r="Z232" s="220"/>
      <c r="AA232" s="220"/>
      <c r="AB232" s="151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214"/>
    </row>
    <row r="233" spans="1:43" ht="15.75" hidden="1" outlineLevel="1">
      <c r="A233" s="70" t="s">
        <v>56</v>
      </c>
      <c r="B233" s="70" t="s">
        <v>57</v>
      </c>
      <c r="C233" s="222"/>
      <c r="D233" s="222"/>
      <c r="E233" s="144"/>
      <c r="F233" s="144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239"/>
      <c r="W233" s="288"/>
      <c r="X233" s="211"/>
      <c r="Y233" s="211"/>
      <c r="Z233" s="213"/>
      <c r="AA233" s="21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214"/>
    </row>
    <row r="234" spans="1:43" ht="15" hidden="1" outlineLevel="1">
      <c r="A234" s="100" t="s">
        <v>99</v>
      </c>
      <c r="B234" s="186" t="s">
        <v>93</v>
      </c>
      <c r="C234" s="222"/>
      <c r="D234" s="222"/>
      <c r="E234" s="222"/>
      <c r="F234" s="222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239"/>
      <c r="W234" s="69"/>
      <c r="X234" s="211"/>
      <c r="Y234" s="211"/>
      <c r="Z234" s="211"/>
      <c r="AA234" s="211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214"/>
    </row>
    <row r="235" spans="1:43" ht="15" hidden="1" outlineLevel="1">
      <c r="A235" s="117" t="s">
        <v>59</v>
      </c>
      <c r="B235" s="117" t="s">
        <v>60</v>
      </c>
      <c r="C235" s="222"/>
      <c r="D235" s="222"/>
      <c r="E235" s="222"/>
      <c r="F235" s="222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239"/>
      <c r="W235" s="69"/>
      <c r="X235" s="211"/>
      <c r="Y235" s="211"/>
      <c r="Z235" s="211"/>
      <c r="AA235" s="211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214"/>
    </row>
    <row r="236" spans="1:43" ht="15" hidden="1" outlineLevel="1">
      <c r="A236" s="100" t="s">
        <v>99</v>
      </c>
      <c r="B236" s="186" t="s">
        <v>93</v>
      </c>
      <c r="C236" s="222"/>
      <c r="D236" s="222"/>
      <c r="E236" s="222"/>
      <c r="F236" s="222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239"/>
      <c r="W236" s="69"/>
      <c r="X236" s="211"/>
      <c r="Y236" s="211"/>
      <c r="Z236" s="211"/>
      <c r="AA236" s="211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214"/>
    </row>
    <row r="237" spans="1:43" ht="15" hidden="1" outlineLevel="1">
      <c r="A237" s="117" t="s">
        <v>61</v>
      </c>
      <c r="B237" s="117" t="s">
        <v>62</v>
      </c>
      <c r="C237" s="222"/>
      <c r="D237" s="222"/>
      <c r="E237" s="222"/>
      <c r="F237" s="222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239"/>
      <c r="W237" s="69"/>
      <c r="X237" s="211"/>
      <c r="Y237" s="211"/>
      <c r="Z237" s="211"/>
      <c r="AA237" s="211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214"/>
    </row>
    <row r="238" spans="1:43" ht="15" hidden="1" outlineLevel="1">
      <c r="A238" s="100" t="s">
        <v>99</v>
      </c>
      <c r="B238" s="186" t="s">
        <v>93</v>
      </c>
      <c r="C238" s="222"/>
      <c r="D238" s="222"/>
      <c r="E238" s="222"/>
      <c r="F238" s="222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239"/>
      <c r="W238" s="69"/>
      <c r="X238" s="211"/>
      <c r="Y238" s="211"/>
      <c r="Z238" s="211"/>
      <c r="AA238" s="211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214"/>
    </row>
    <row r="239" spans="1:43" ht="15" hidden="1" outlineLevel="1">
      <c r="A239" s="117" t="s">
        <v>63</v>
      </c>
      <c r="B239" s="117" t="s">
        <v>64</v>
      </c>
      <c r="C239" s="222"/>
      <c r="D239" s="222"/>
      <c r="E239" s="222"/>
      <c r="F239" s="222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239"/>
      <c r="W239" s="69"/>
      <c r="X239" s="211"/>
      <c r="Y239" s="211"/>
      <c r="Z239" s="211"/>
      <c r="AA239" s="211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214"/>
    </row>
    <row r="240" spans="1:43" ht="15.75" hidden="1" outlineLevel="1">
      <c r="A240" s="70" t="s">
        <v>124</v>
      </c>
      <c r="B240" s="70" t="s">
        <v>65</v>
      </c>
      <c r="C240" s="144">
        <f aca="true" t="shared" si="218" ref="C240:I240">C242+C245</f>
        <v>578.83961</v>
      </c>
      <c r="D240" s="144">
        <f t="shared" si="218"/>
        <v>659.71141</v>
      </c>
      <c r="E240" s="144">
        <f t="shared" si="218"/>
        <v>757.9857</v>
      </c>
      <c r="F240" s="144">
        <f t="shared" si="218"/>
        <v>457.1818</v>
      </c>
      <c r="G240" s="75">
        <f t="shared" si="218"/>
        <v>440.383</v>
      </c>
      <c r="H240" s="144">
        <f t="shared" si="218"/>
        <v>691.3000000000001</v>
      </c>
      <c r="I240" s="144">
        <f t="shared" si="218"/>
        <v>755.482</v>
      </c>
      <c r="J240" s="144">
        <f>J242+J245</f>
        <v>851.492</v>
      </c>
      <c r="K240" s="144">
        <f>K242+K245</f>
        <v>731.879</v>
      </c>
      <c r="L240" s="144">
        <f>L242+L245</f>
        <v>716.1</v>
      </c>
      <c r="M240" s="144">
        <f>M242+M245</f>
        <v>580.001</v>
      </c>
      <c r="N240" s="144"/>
      <c r="O240" s="144"/>
      <c r="P240" s="144"/>
      <c r="Q240" s="144"/>
      <c r="R240" s="144"/>
      <c r="S240" s="144"/>
      <c r="T240" s="144"/>
      <c r="U240" s="144"/>
      <c r="V240" s="301"/>
      <c r="W240" s="288"/>
      <c r="X240" s="213">
        <f>X242+X245</f>
        <v>547.03075</v>
      </c>
      <c r="Y240" s="213">
        <f>Y242+Y245</f>
        <v>648.4043</v>
      </c>
      <c r="Z240" s="213">
        <f>Z242+Z245</f>
        <v>764.5151</v>
      </c>
      <c r="AA240" s="213">
        <f>AA242+AA245</f>
        <v>410.46700000000004</v>
      </c>
      <c r="AB240" s="83">
        <v>524.9110000000001</v>
      </c>
      <c r="AC240" s="213">
        <f aca="true" t="shared" si="219" ref="AC240:AH240">AC242+AC245</f>
        <v>645.1999999999999</v>
      </c>
      <c r="AD240" s="213">
        <f t="shared" si="219"/>
        <v>717.77</v>
      </c>
      <c r="AE240" s="213">
        <f t="shared" si="219"/>
        <v>794.5999999999999</v>
      </c>
      <c r="AF240" s="213">
        <f t="shared" si="219"/>
        <v>763.8</v>
      </c>
      <c r="AG240" s="213">
        <f t="shared" si="219"/>
        <v>715.7</v>
      </c>
      <c r="AH240" s="213">
        <f t="shared" si="219"/>
        <v>525.21</v>
      </c>
      <c r="AI240" s="213"/>
      <c r="AJ240" s="213"/>
      <c r="AK240" s="213"/>
      <c r="AL240" s="213"/>
      <c r="AM240" s="213"/>
      <c r="AN240" s="213"/>
      <c r="AO240" s="213"/>
      <c r="AP240" s="213"/>
      <c r="AQ240" s="293"/>
    </row>
    <row r="241" spans="1:43" ht="15.75" hidden="1" outlineLevel="1">
      <c r="A241" s="100" t="s">
        <v>99</v>
      </c>
      <c r="B241" s="100" t="s">
        <v>93</v>
      </c>
      <c r="C241" s="222"/>
      <c r="D241" s="222"/>
      <c r="E241" s="144"/>
      <c r="F241" s="144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239"/>
      <c r="W241" s="288"/>
      <c r="X241" s="211"/>
      <c r="Y241" s="211"/>
      <c r="Z241" s="213"/>
      <c r="AA241" s="21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214"/>
    </row>
    <row r="242" spans="1:43" ht="15" hidden="1" outlineLevel="1">
      <c r="A242" s="117" t="s">
        <v>66</v>
      </c>
      <c r="B242" s="116" t="s">
        <v>9</v>
      </c>
      <c r="C242" s="222">
        <v>578.83961</v>
      </c>
      <c r="D242" s="222">
        <v>659.71141</v>
      </c>
      <c r="E242" s="222">
        <v>757.9857</v>
      </c>
      <c r="F242" s="222">
        <v>457.1818</v>
      </c>
      <c r="G242" s="181">
        <v>440.383</v>
      </c>
      <c r="H242" s="181">
        <v>691.3000000000001</v>
      </c>
      <c r="I242" s="181">
        <v>755.482</v>
      </c>
      <c r="J242" s="181">
        <v>851.492</v>
      </c>
      <c r="K242" s="181">
        <v>731.879</v>
      </c>
      <c r="L242" s="181">
        <v>716.1</v>
      </c>
      <c r="M242" s="181">
        <v>580.001</v>
      </c>
      <c r="N242" s="181"/>
      <c r="O242" s="181"/>
      <c r="P242" s="181"/>
      <c r="Q242" s="181"/>
      <c r="R242" s="181"/>
      <c r="S242" s="181"/>
      <c r="T242" s="181"/>
      <c r="U242" s="181"/>
      <c r="V242" s="239"/>
      <c r="W242" s="69"/>
      <c r="X242" s="211">
        <v>547.03075</v>
      </c>
      <c r="Y242" s="211">
        <v>648.4043</v>
      </c>
      <c r="Z242" s="211">
        <v>764.5151</v>
      </c>
      <c r="AA242" s="211">
        <v>410.46700000000004</v>
      </c>
      <c r="AB242" s="164">
        <v>524.9110000000001</v>
      </c>
      <c r="AC242" s="164">
        <v>645.1999999999999</v>
      </c>
      <c r="AD242" s="164">
        <v>717.77</v>
      </c>
      <c r="AE242" s="164">
        <v>794.5999999999999</v>
      </c>
      <c r="AF242" s="164">
        <v>763.8</v>
      </c>
      <c r="AG242" s="164">
        <v>715.7</v>
      </c>
      <c r="AH242" s="164">
        <v>525.21</v>
      </c>
      <c r="AI242" s="164"/>
      <c r="AJ242" s="164"/>
      <c r="AK242" s="164"/>
      <c r="AL242" s="164"/>
      <c r="AM242" s="164"/>
      <c r="AN242" s="164"/>
      <c r="AO242" s="164"/>
      <c r="AP242" s="164"/>
      <c r="AQ242" s="214"/>
    </row>
    <row r="243" spans="1:43" ht="15" hidden="1" outlineLevel="1">
      <c r="A243" s="100" t="s">
        <v>99</v>
      </c>
      <c r="B243" s="186" t="s">
        <v>93</v>
      </c>
      <c r="C243" s="222"/>
      <c r="D243" s="222"/>
      <c r="E243" s="222"/>
      <c r="F243" s="222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239"/>
      <c r="W243" s="69"/>
      <c r="X243" s="211"/>
      <c r="Y243" s="211"/>
      <c r="Z243" s="211"/>
      <c r="AA243" s="211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214"/>
    </row>
    <row r="244" spans="1:43" ht="15" hidden="1" outlineLevel="1">
      <c r="A244" s="117" t="s">
        <v>68</v>
      </c>
      <c r="B244" s="117" t="s">
        <v>69</v>
      </c>
      <c r="C244" s="222"/>
      <c r="D244" s="222"/>
      <c r="E244" s="222"/>
      <c r="F244" s="222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239"/>
      <c r="W244" s="69"/>
      <c r="X244" s="211"/>
      <c r="Y244" s="211"/>
      <c r="Z244" s="211"/>
      <c r="AA244" s="211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214"/>
    </row>
    <row r="245" spans="1:43" ht="15" hidden="1" outlineLevel="1">
      <c r="A245" s="117" t="s">
        <v>70</v>
      </c>
      <c r="B245" s="116" t="s">
        <v>125</v>
      </c>
      <c r="C245" s="222"/>
      <c r="D245" s="222"/>
      <c r="E245" s="222"/>
      <c r="F245" s="222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239"/>
      <c r="W245" s="69"/>
      <c r="X245" s="211"/>
      <c r="Y245" s="211"/>
      <c r="Z245" s="211"/>
      <c r="AA245" s="211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214"/>
    </row>
    <row r="246" spans="1:43" ht="15.75" hidden="1" outlineLevel="1">
      <c r="A246" s="117" t="s">
        <v>12</v>
      </c>
      <c r="B246" s="117"/>
      <c r="C246" s="222">
        <v>211.4385</v>
      </c>
      <c r="D246" s="222">
        <v>30.937</v>
      </c>
      <c r="E246" s="222"/>
      <c r="F246" s="222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39"/>
      <c r="W246" s="69"/>
      <c r="X246" s="211">
        <v>196.439</v>
      </c>
      <c r="Y246" s="211">
        <v>44.7005</v>
      </c>
      <c r="Z246" s="211"/>
      <c r="AA246" s="211"/>
      <c r="AB246" s="164"/>
      <c r="AC246" s="83"/>
      <c r="AD246" s="83"/>
      <c r="AE246" s="83"/>
      <c r="AF246" s="83">
        <v>0</v>
      </c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214"/>
    </row>
    <row r="247" spans="1:43" ht="15.75" hidden="1" outlineLevel="1">
      <c r="A247" s="117" t="s">
        <v>100</v>
      </c>
      <c r="B247" s="117" t="s">
        <v>103</v>
      </c>
      <c r="C247" s="222">
        <v>28.3281</v>
      </c>
      <c r="D247" s="222">
        <v>11.49255</v>
      </c>
      <c r="E247" s="222"/>
      <c r="F247" s="222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39"/>
      <c r="W247" s="69"/>
      <c r="X247" s="211">
        <v>24.07512</v>
      </c>
      <c r="Y247" s="211">
        <v>0.47656</v>
      </c>
      <c r="Z247" s="211"/>
      <c r="AA247" s="211"/>
      <c r="AB247" s="164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214"/>
    </row>
    <row r="248" spans="1:43" ht="30.75" hidden="1" outlineLevel="1">
      <c r="A248" s="70" t="s">
        <v>126</v>
      </c>
      <c r="B248" s="70" t="s">
        <v>72</v>
      </c>
      <c r="C248" s="144">
        <f aca="true" t="shared" si="220" ref="C248:H248">C250</f>
        <v>0</v>
      </c>
      <c r="D248" s="144">
        <f t="shared" si="220"/>
        <v>58.27404</v>
      </c>
      <c r="E248" s="144">
        <f t="shared" si="220"/>
        <v>128.7658</v>
      </c>
      <c r="F248" s="144">
        <f t="shared" si="220"/>
        <v>84.6219</v>
      </c>
      <c r="G248" s="144">
        <f t="shared" si="220"/>
        <v>0</v>
      </c>
      <c r="H248" s="144">
        <f t="shared" si="220"/>
        <v>0</v>
      </c>
      <c r="I248" s="144">
        <v>0</v>
      </c>
      <c r="J248" s="144">
        <v>0</v>
      </c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239"/>
      <c r="W248" s="288"/>
      <c r="X248" s="213">
        <f aca="true" t="shared" si="221" ref="X248:AD248">X250</f>
        <v>0</v>
      </c>
      <c r="Y248" s="213">
        <f t="shared" si="221"/>
        <v>57.22666</v>
      </c>
      <c r="Z248" s="213">
        <f t="shared" si="221"/>
        <v>127.8609</v>
      </c>
      <c r="AA248" s="213">
        <f t="shared" si="221"/>
        <v>80.9635</v>
      </c>
      <c r="AB248" s="83">
        <f t="shared" si="221"/>
        <v>3.146</v>
      </c>
      <c r="AC248" s="83">
        <f t="shared" si="221"/>
        <v>1.8</v>
      </c>
      <c r="AD248" s="83">
        <f t="shared" si="221"/>
        <v>0</v>
      </c>
      <c r="AE248" s="83">
        <f>AE250</f>
        <v>0</v>
      </c>
      <c r="AF248" s="83">
        <f>AF250</f>
        <v>0</v>
      </c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214"/>
    </row>
    <row r="249" spans="1:43" ht="15.75" hidden="1" outlineLevel="1">
      <c r="A249" s="100" t="s">
        <v>99</v>
      </c>
      <c r="B249" s="100" t="s">
        <v>93</v>
      </c>
      <c r="C249" s="222"/>
      <c r="D249" s="222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239"/>
      <c r="W249" s="288"/>
      <c r="X249" s="211"/>
      <c r="Y249" s="211"/>
      <c r="Z249" s="213"/>
      <c r="AA249" s="213"/>
      <c r="AB249" s="83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214"/>
    </row>
    <row r="250" spans="1:43" ht="15.75" hidden="1" outlineLevel="1">
      <c r="A250" s="117" t="s">
        <v>73</v>
      </c>
      <c r="B250" s="117" t="s">
        <v>74</v>
      </c>
      <c r="C250" s="144">
        <f>C252</f>
        <v>0</v>
      </c>
      <c r="D250" s="222">
        <v>58.27404</v>
      </c>
      <c r="E250" s="222">
        <f>'пр-во '!K22</f>
        <v>128.7658</v>
      </c>
      <c r="F250" s="222">
        <f>'пр-во '!K9</f>
        <v>84.6219</v>
      </c>
      <c r="G250" s="144">
        <v>0</v>
      </c>
      <c r="H250" s="144">
        <v>0</v>
      </c>
      <c r="I250" s="144">
        <v>0</v>
      </c>
      <c r="J250" s="144">
        <v>0</v>
      </c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239"/>
      <c r="W250" s="69"/>
      <c r="X250" s="211">
        <v>0</v>
      </c>
      <c r="Y250" s="211">
        <v>57.22666</v>
      </c>
      <c r="Z250" s="211">
        <f>'отгр.  2008'!K23</f>
        <v>127.8609</v>
      </c>
      <c r="AA250" s="211">
        <f>'отгр.  2008'!K9</f>
        <v>80.9635</v>
      </c>
      <c r="AB250" s="164">
        <v>3.146</v>
      </c>
      <c r="AC250" s="164">
        <v>1.8</v>
      </c>
      <c r="AD250" s="164">
        <f>AD252</f>
        <v>0</v>
      </c>
      <c r="AE250" s="164">
        <f>AE252</f>
        <v>0</v>
      </c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214"/>
    </row>
    <row r="251" spans="1:43" ht="15" hidden="1" outlineLevel="1">
      <c r="A251" s="100" t="s">
        <v>99</v>
      </c>
      <c r="B251" s="186" t="s">
        <v>93</v>
      </c>
      <c r="C251" s="222"/>
      <c r="D251" s="222"/>
      <c r="E251" s="222"/>
      <c r="F251" s="222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239"/>
      <c r="W251" s="69"/>
      <c r="X251" s="211"/>
      <c r="Y251" s="211"/>
      <c r="Z251" s="211"/>
      <c r="AA251" s="211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214"/>
    </row>
    <row r="252" spans="1:43" ht="15" hidden="1" outlineLevel="1">
      <c r="A252" s="117" t="s">
        <v>75</v>
      </c>
      <c r="B252" s="117" t="s">
        <v>76</v>
      </c>
      <c r="C252" s="222"/>
      <c r="D252" s="222"/>
      <c r="E252" s="222"/>
      <c r="F252" s="222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239"/>
      <c r="W252" s="69"/>
      <c r="X252" s="211"/>
      <c r="Y252" s="211"/>
      <c r="Z252" s="211"/>
      <c r="AA252" s="211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214"/>
    </row>
    <row r="253" spans="1:43" ht="15" hidden="1" outlineLevel="1">
      <c r="A253" s="100" t="s">
        <v>99</v>
      </c>
      <c r="B253" s="186" t="s">
        <v>93</v>
      </c>
      <c r="C253" s="222"/>
      <c r="D253" s="222"/>
      <c r="E253" s="222"/>
      <c r="F253" s="222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239"/>
      <c r="W253" s="69"/>
      <c r="X253" s="211"/>
      <c r="Y253" s="211"/>
      <c r="Z253" s="211"/>
      <c r="AA253" s="211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214"/>
    </row>
    <row r="254" spans="1:43" ht="30" hidden="1" outlineLevel="1">
      <c r="A254" s="117" t="s">
        <v>77</v>
      </c>
      <c r="B254" s="117" t="s">
        <v>78</v>
      </c>
      <c r="C254" s="222"/>
      <c r="D254" s="222"/>
      <c r="E254" s="222"/>
      <c r="F254" s="222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239"/>
      <c r="W254" s="69"/>
      <c r="X254" s="211"/>
      <c r="Y254" s="211"/>
      <c r="Z254" s="211"/>
      <c r="AA254" s="211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214"/>
    </row>
    <row r="255" spans="1:43" ht="15" hidden="1" outlineLevel="1">
      <c r="A255" s="100" t="s">
        <v>99</v>
      </c>
      <c r="B255" s="186" t="s">
        <v>93</v>
      </c>
      <c r="C255" s="222"/>
      <c r="D255" s="222"/>
      <c r="E255" s="222"/>
      <c r="F255" s="222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239"/>
      <c r="W255" s="69"/>
      <c r="X255" s="211"/>
      <c r="Y255" s="211"/>
      <c r="Z255" s="211"/>
      <c r="AA255" s="211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214"/>
    </row>
    <row r="256" spans="1:43" ht="30" hidden="1" outlineLevel="1">
      <c r="A256" s="117" t="s">
        <v>79</v>
      </c>
      <c r="B256" s="117" t="s">
        <v>80</v>
      </c>
      <c r="C256" s="222"/>
      <c r="D256" s="222"/>
      <c r="E256" s="222"/>
      <c r="F256" s="222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239"/>
      <c r="W256" s="69"/>
      <c r="X256" s="211"/>
      <c r="Y256" s="211"/>
      <c r="Z256" s="211"/>
      <c r="AA256" s="211"/>
      <c r="AB256" s="164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214"/>
    </row>
    <row r="257" spans="1:43" ht="15" hidden="1" outlineLevel="1">
      <c r="A257" s="100" t="s">
        <v>99</v>
      </c>
      <c r="B257" s="186" t="s">
        <v>93</v>
      </c>
      <c r="C257" s="222"/>
      <c r="D257" s="222"/>
      <c r="E257" s="222"/>
      <c r="F257" s="222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239"/>
      <c r="W257" s="69"/>
      <c r="X257" s="211"/>
      <c r="Y257" s="211"/>
      <c r="Z257" s="211"/>
      <c r="AA257" s="211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214"/>
    </row>
    <row r="258" spans="1:43" ht="30.75" hidden="1" outlineLevel="1">
      <c r="A258" s="70" t="s">
        <v>127</v>
      </c>
      <c r="B258" s="70" t="s">
        <v>130</v>
      </c>
      <c r="C258" s="144">
        <f aca="true" t="shared" si="222" ref="C258:I258">C264</f>
        <v>138.12598</v>
      </c>
      <c r="D258" s="144">
        <f t="shared" si="222"/>
        <v>134.84335</v>
      </c>
      <c r="E258" s="144">
        <f t="shared" si="222"/>
        <v>156.7524</v>
      </c>
      <c r="F258" s="144">
        <f t="shared" si="222"/>
        <v>92.6948</v>
      </c>
      <c r="G258" s="75">
        <f t="shared" si="222"/>
        <v>92.919</v>
      </c>
      <c r="H258" s="75">
        <f t="shared" si="222"/>
        <v>160</v>
      </c>
      <c r="I258" s="75">
        <f t="shared" si="222"/>
        <v>146.044</v>
      </c>
      <c r="J258" s="75">
        <f>J264</f>
        <v>133.881</v>
      </c>
      <c r="K258" s="75">
        <f>K264</f>
        <v>129.149</v>
      </c>
      <c r="L258" s="75">
        <f>L264</f>
        <v>136</v>
      </c>
      <c r="M258" s="75">
        <f>M264</f>
        <v>107.057</v>
      </c>
      <c r="N258" s="75"/>
      <c r="O258" s="75"/>
      <c r="P258" s="75"/>
      <c r="Q258" s="75"/>
      <c r="R258" s="75"/>
      <c r="S258" s="75"/>
      <c r="T258" s="75"/>
      <c r="U258" s="75"/>
      <c r="V258" s="301"/>
      <c r="W258" s="288"/>
      <c r="X258" s="213">
        <f aca="true" t="shared" si="223" ref="X258:AD258">X264</f>
        <v>136.87073</v>
      </c>
      <c r="Y258" s="213">
        <f t="shared" si="223"/>
        <v>132.69017</v>
      </c>
      <c r="Z258" s="213">
        <f t="shared" si="223"/>
        <v>155.5942</v>
      </c>
      <c r="AA258" s="213">
        <f t="shared" si="223"/>
        <v>95.7336</v>
      </c>
      <c r="AB258" s="83">
        <f t="shared" si="223"/>
        <v>90.974</v>
      </c>
      <c r="AC258" s="83">
        <f t="shared" si="223"/>
        <v>157.6</v>
      </c>
      <c r="AD258" s="83">
        <f t="shared" si="223"/>
        <v>148.025</v>
      </c>
      <c r="AE258" s="83">
        <f>AE264</f>
        <v>131.959</v>
      </c>
      <c r="AF258" s="83">
        <f>AF264</f>
        <v>130.5</v>
      </c>
      <c r="AG258" s="83">
        <f>AG264</f>
        <v>133.6</v>
      </c>
      <c r="AH258" s="83">
        <f>AH264</f>
        <v>111.292</v>
      </c>
      <c r="AI258" s="83"/>
      <c r="AJ258" s="83"/>
      <c r="AK258" s="83"/>
      <c r="AL258" s="83"/>
      <c r="AM258" s="83"/>
      <c r="AN258" s="83"/>
      <c r="AO258" s="83"/>
      <c r="AP258" s="83"/>
      <c r="AQ258" s="293"/>
    </row>
    <row r="259" spans="1:43" ht="30" hidden="1" outlineLevel="1">
      <c r="A259" s="117" t="s">
        <v>81</v>
      </c>
      <c r="B259" s="117" t="s">
        <v>82</v>
      </c>
      <c r="C259" s="222"/>
      <c r="D259" s="222"/>
      <c r="E259" s="222"/>
      <c r="F259" s="222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239"/>
      <c r="W259" s="69"/>
      <c r="X259" s="211"/>
      <c r="Y259" s="211"/>
      <c r="Z259" s="211"/>
      <c r="AA259" s="211"/>
      <c r="AB259" s="246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214"/>
    </row>
    <row r="260" spans="1:43" ht="15" hidden="1" outlineLevel="1">
      <c r="A260" s="117" t="s">
        <v>83</v>
      </c>
      <c r="B260" s="117" t="s">
        <v>19</v>
      </c>
      <c r="C260" s="222"/>
      <c r="D260" s="222"/>
      <c r="E260" s="222"/>
      <c r="F260" s="222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239"/>
      <c r="W260" s="69"/>
      <c r="X260" s="211"/>
      <c r="Y260" s="211"/>
      <c r="Z260" s="211"/>
      <c r="AA260" s="211"/>
      <c r="AB260" s="246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214"/>
    </row>
    <row r="261" spans="1:43" ht="15" hidden="1" outlineLevel="1">
      <c r="A261" s="117" t="s">
        <v>84</v>
      </c>
      <c r="B261" s="117" t="s">
        <v>85</v>
      </c>
      <c r="C261" s="222"/>
      <c r="D261" s="222"/>
      <c r="E261" s="222"/>
      <c r="F261" s="222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239"/>
      <c r="W261" s="69"/>
      <c r="X261" s="211"/>
      <c r="Y261" s="211"/>
      <c r="Z261" s="211"/>
      <c r="AA261" s="211"/>
      <c r="AB261" s="246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214"/>
    </row>
    <row r="262" spans="1:43" ht="15" hidden="1" outlineLevel="1">
      <c r="A262" s="117" t="s">
        <v>86</v>
      </c>
      <c r="B262" s="117" t="s">
        <v>87</v>
      </c>
      <c r="C262" s="222"/>
      <c r="D262" s="222"/>
      <c r="E262" s="222"/>
      <c r="F262" s="222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239"/>
      <c r="W262" s="69"/>
      <c r="X262" s="211"/>
      <c r="Y262" s="211"/>
      <c r="Z262" s="211"/>
      <c r="AA262" s="211"/>
      <c r="AB262" s="246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214"/>
    </row>
    <row r="263" spans="1:43" ht="15" hidden="1" outlineLevel="1">
      <c r="A263" s="100" t="s">
        <v>99</v>
      </c>
      <c r="B263" s="186" t="s">
        <v>93</v>
      </c>
      <c r="C263" s="222"/>
      <c r="D263" s="222"/>
      <c r="E263" s="222"/>
      <c r="F263" s="222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239"/>
      <c r="W263" s="69"/>
      <c r="X263" s="211"/>
      <c r="Y263" s="211"/>
      <c r="Z263" s="211"/>
      <c r="AA263" s="211"/>
      <c r="AB263" s="246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214"/>
    </row>
    <row r="264" spans="1:43" ht="15" hidden="1" outlineLevel="1">
      <c r="A264" s="117" t="s">
        <v>88</v>
      </c>
      <c r="B264" s="131" t="s">
        <v>89</v>
      </c>
      <c r="C264" s="222">
        <v>138.12598</v>
      </c>
      <c r="D264" s="222">
        <v>134.84335</v>
      </c>
      <c r="E264" s="222">
        <f>'пр-во '!U22</f>
        <v>156.7524</v>
      </c>
      <c r="F264" s="222">
        <f>'пр-во '!U9</f>
        <v>92.6948</v>
      </c>
      <c r="G264" s="185">
        <v>92.919</v>
      </c>
      <c r="H264" s="185">
        <v>160</v>
      </c>
      <c r="I264" s="185">
        <f>146.044</f>
        <v>146.044</v>
      </c>
      <c r="J264" s="185">
        <v>133.881</v>
      </c>
      <c r="K264" s="185">
        <v>129.149</v>
      </c>
      <c r="L264" s="185">
        <v>136</v>
      </c>
      <c r="M264" s="185">
        <v>107.057</v>
      </c>
      <c r="N264" s="185"/>
      <c r="O264" s="185"/>
      <c r="P264" s="185"/>
      <c r="Q264" s="185"/>
      <c r="R264" s="185"/>
      <c r="S264" s="185"/>
      <c r="T264" s="185"/>
      <c r="U264" s="185"/>
      <c r="V264" s="239"/>
      <c r="W264" s="69"/>
      <c r="X264" s="211">
        <v>136.87073</v>
      </c>
      <c r="Y264" s="211">
        <v>132.69017</v>
      </c>
      <c r="Z264" s="211">
        <f>'отгр.  2008'!U23</f>
        <v>155.5942</v>
      </c>
      <c r="AA264" s="211">
        <f>'отгр.  2008'!U9</f>
        <v>95.7336</v>
      </c>
      <c r="AB264" s="164">
        <v>90.974</v>
      </c>
      <c r="AC264" s="164">
        <v>157.6</v>
      </c>
      <c r="AD264" s="164">
        <v>148.025</v>
      </c>
      <c r="AE264" s="164">
        <v>131.959</v>
      </c>
      <c r="AF264" s="164">
        <v>130.5</v>
      </c>
      <c r="AG264" s="164">
        <v>133.6</v>
      </c>
      <c r="AH264" s="164">
        <v>111.292</v>
      </c>
      <c r="AI264" s="164"/>
      <c r="AJ264" s="164"/>
      <c r="AK264" s="164"/>
      <c r="AL264" s="164"/>
      <c r="AM264" s="164"/>
      <c r="AN264" s="164"/>
      <c r="AO264" s="164"/>
      <c r="AP264" s="164"/>
      <c r="AQ264" s="214"/>
    </row>
    <row r="265" spans="1:43" ht="15.75" hidden="1" outlineLevel="1">
      <c r="A265" s="98" t="s">
        <v>113</v>
      </c>
      <c r="B265" s="98" t="s">
        <v>112</v>
      </c>
      <c r="C265" s="291">
        <f aca="true" t="shared" si="224" ref="C265:I265">C258+C240+C231+C248-C249-C232-C241</f>
        <v>735.8955900000001</v>
      </c>
      <c r="D265" s="291">
        <f t="shared" si="224"/>
        <v>869.7765</v>
      </c>
      <c r="E265" s="291">
        <f t="shared" si="224"/>
        <v>1062.4338999999998</v>
      </c>
      <c r="F265" s="291">
        <f t="shared" si="224"/>
        <v>651.4462</v>
      </c>
      <c r="G265" s="291">
        <f t="shared" si="224"/>
        <v>553.586</v>
      </c>
      <c r="H265" s="291">
        <f t="shared" si="224"/>
        <v>875.7</v>
      </c>
      <c r="I265" s="291">
        <f t="shared" si="224"/>
        <v>916.7259999999999</v>
      </c>
      <c r="J265" s="291">
        <f>J258+J240+J231+J248-J249-J232-J241</f>
        <v>995.0729999999999</v>
      </c>
      <c r="K265" s="291">
        <f>K258+K240+K231+K248-K249-K232-K241</f>
        <v>878.7280000000001</v>
      </c>
      <c r="L265" s="291">
        <f>L258+L240+L231+L248-L249-L232-L241</f>
        <v>870.6</v>
      </c>
      <c r="M265" s="291">
        <f>M258+M240+M231+M248-M249-M232-M241</f>
        <v>709.409</v>
      </c>
      <c r="N265" s="291"/>
      <c r="O265" s="291"/>
      <c r="P265" s="291"/>
      <c r="Q265" s="291"/>
      <c r="R265" s="291"/>
      <c r="S265" s="291"/>
      <c r="T265" s="291"/>
      <c r="U265" s="291"/>
      <c r="V265" s="301"/>
      <c r="X265" s="292">
        <f aca="true" t="shared" si="225" ref="X265:AD265">X231+X240+X248+X258-X232-X241-X249</f>
        <v>709.4406</v>
      </c>
      <c r="Y265" s="292">
        <f t="shared" si="225"/>
        <v>863.17868</v>
      </c>
      <c r="Z265" s="292">
        <f t="shared" si="225"/>
        <v>1066.9002</v>
      </c>
      <c r="AA265" s="292">
        <f t="shared" si="225"/>
        <v>604.1118</v>
      </c>
      <c r="AB265" s="292">
        <f t="shared" si="225"/>
        <v>639.315</v>
      </c>
      <c r="AC265" s="292">
        <f t="shared" si="225"/>
        <v>828.9999999999999</v>
      </c>
      <c r="AD265" s="292">
        <f t="shared" si="225"/>
        <v>880.995</v>
      </c>
      <c r="AE265" s="292">
        <f>AE231+AE240+AE248+AE258-AE232-AE241-AE249</f>
        <v>936.259</v>
      </c>
      <c r="AF265" s="292">
        <f>AF231+AF240+AF248+AF258-AF232-AF241-AF249</f>
        <v>912</v>
      </c>
      <c r="AG265" s="292">
        <f>AG231+AG240+AG248+AG258-AG232-AG241-AG249</f>
        <v>867.8000000000001</v>
      </c>
      <c r="AH265" s="292">
        <f>AH231+AH240+AH248+AH258-AH232-AH241-AH249</f>
        <v>658.8530000000001</v>
      </c>
      <c r="AI265" s="292"/>
      <c r="AJ265" s="292"/>
      <c r="AK265" s="292"/>
      <c r="AL265" s="292"/>
      <c r="AM265" s="292"/>
      <c r="AN265" s="292"/>
      <c r="AO265" s="292"/>
      <c r="AP265" s="292"/>
      <c r="AQ265" s="293"/>
    </row>
    <row r="266" spans="1:22" ht="15" hidden="1" outlineLevel="1">
      <c r="A266" s="64" t="s">
        <v>236</v>
      </c>
      <c r="B266" s="129" t="s">
        <v>235</v>
      </c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229"/>
    </row>
    <row r="267" spans="7:21" ht="15" collapsed="1"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</row>
    <row r="268" spans="1:21" ht="15.75">
      <c r="A268" s="247" t="s">
        <v>119</v>
      </c>
      <c r="B268" s="247" t="s">
        <v>120</v>
      </c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</row>
    <row r="269" spans="1:2" ht="15">
      <c r="A269" s="61" t="s">
        <v>114</v>
      </c>
      <c r="B269" s="61" t="s">
        <v>94</v>
      </c>
    </row>
    <row r="270" spans="1:2" ht="15">
      <c r="A270" s="61" t="s">
        <v>115</v>
      </c>
      <c r="B270" s="61" t="s">
        <v>97</v>
      </c>
    </row>
    <row r="271" spans="1:2" ht="15">
      <c r="A271" s="248" t="s">
        <v>116</v>
      </c>
      <c r="B271" s="248" t="s">
        <v>90</v>
      </c>
    </row>
    <row r="272" spans="1:2" ht="15">
      <c r="A272" s="248" t="s">
        <v>117</v>
      </c>
      <c r="B272" s="248" t="s">
        <v>91</v>
      </c>
    </row>
    <row r="273" spans="1:2" ht="15">
      <c r="A273" s="248" t="s">
        <v>118</v>
      </c>
      <c r="B273" s="248" t="s">
        <v>92</v>
      </c>
    </row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</sheetData>
  <sheetProtection/>
  <mergeCells count="44">
    <mergeCell ref="A3:A4"/>
    <mergeCell ref="B3:B4"/>
    <mergeCell ref="C3:V3"/>
    <mergeCell ref="C4:V4"/>
    <mergeCell ref="X177:AQ177"/>
    <mergeCell ref="X65:AQ65"/>
    <mergeCell ref="A176:A177"/>
    <mergeCell ref="B128:B129"/>
    <mergeCell ref="A65:A66"/>
    <mergeCell ref="B65:B66"/>
    <mergeCell ref="C228:V228"/>
    <mergeCell ref="C177:V177"/>
    <mergeCell ref="C176:V176"/>
    <mergeCell ref="C129:V129"/>
    <mergeCell ref="C128:V128"/>
    <mergeCell ref="C65:V65"/>
    <mergeCell ref="C215:V215"/>
    <mergeCell ref="C227:V227"/>
    <mergeCell ref="X216:AQ216"/>
    <mergeCell ref="C16:V16"/>
    <mergeCell ref="X16:AQ16"/>
    <mergeCell ref="X128:AQ128"/>
    <mergeCell ref="X129:AQ129"/>
    <mergeCell ref="X176:AQ176"/>
    <mergeCell ref="X227:AQ227"/>
    <mergeCell ref="X228:AQ228"/>
    <mergeCell ref="X17:AQ17"/>
    <mergeCell ref="B227:B228"/>
    <mergeCell ref="A227:A228"/>
    <mergeCell ref="B215:B216"/>
    <mergeCell ref="A215:A216"/>
    <mergeCell ref="B176:B177"/>
    <mergeCell ref="X215:AQ215"/>
    <mergeCell ref="C216:V216"/>
    <mergeCell ref="AS17:BE17"/>
    <mergeCell ref="AS16:BE16"/>
    <mergeCell ref="B16:B17"/>
    <mergeCell ref="A16:A17"/>
    <mergeCell ref="C17:V17"/>
    <mergeCell ref="A128:A129"/>
    <mergeCell ref="AS65:BE65"/>
    <mergeCell ref="C66:V66"/>
    <mergeCell ref="X66:AQ66"/>
    <mergeCell ref="AS66:BE66"/>
  </mergeCells>
  <printOptions/>
  <pageMargins left="0.25" right="0.25" top="0.75" bottom="0.75" header="0.3" footer="0.3"/>
  <pageSetup fitToHeight="1" fitToWidth="1" horizontalDpi="600" verticalDpi="600" orientation="portrait" paperSize="8" scale="4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55"/>
  <sheetViews>
    <sheetView showGridLines="0" zoomScale="70" zoomScaleNormal="70" zoomScalePageLayoutView="0" workbookViewId="0" topLeftCell="A1">
      <pane xSplit="2" topLeftCell="BC1" activePane="topRight" state="frozen"/>
      <selection pane="topLeft" activeCell="A1" sqref="A1"/>
      <selection pane="topRight" activeCell="A1" sqref="A1"/>
    </sheetView>
  </sheetViews>
  <sheetFormatPr defaultColWidth="9.00390625" defaultRowHeight="12.75" outlineLevelRow="1" outlineLevelCol="1"/>
  <cols>
    <col min="1" max="1" width="47.75390625" style="64" customWidth="1"/>
    <col min="2" max="2" width="53.625" style="64" customWidth="1"/>
    <col min="3" max="30" width="11.375" style="95" hidden="1" customWidth="1" outlineLevel="1"/>
    <col min="31" max="31" width="11.375" style="95" hidden="1" customWidth="1" outlineLevel="1" collapsed="1"/>
    <col min="32" max="54" width="11.375" style="95" hidden="1" customWidth="1" outlineLevel="1"/>
    <col min="55" max="55" width="11.375" style="95" customWidth="1" collapsed="1"/>
    <col min="56" max="62" width="11.375" style="95" customWidth="1"/>
    <col min="63" max="63" width="5.75390625" style="95" customWidth="1"/>
    <col min="64" max="67" width="11.375" style="95" hidden="1" customWidth="1" outlineLevel="1"/>
    <col min="68" max="91" width="11.375" style="64" hidden="1" customWidth="1" outlineLevel="1"/>
    <col min="92" max="92" width="11.375" style="64" hidden="1" customWidth="1" outlineLevel="1" collapsed="1"/>
    <col min="93" max="95" width="11.375" style="64" hidden="1" customWidth="1" outlineLevel="1"/>
    <col min="96" max="96" width="11.375" style="64" hidden="1" customWidth="1" outlineLevel="1" collapsed="1"/>
    <col min="97" max="107" width="11.375" style="64" hidden="1" customWidth="1" outlineLevel="1"/>
    <col min="108" max="108" width="11.375" style="64" hidden="1" customWidth="1" outlineLevel="1" collapsed="1"/>
    <col min="109" max="111" width="11.375" style="64" hidden="1" customWidth="1" outlineLevel="1"/>
    <col min="112" max="112" width="11.375" style="64" hidden="1" customWidth="1" outlineLevel="1" collapsed="1"/>
    <col min="113" max="115" width="11.375" style="64" hidden="1" customWidth="1" outlineLevel="1"/>
    <col min="116" max="116" width="11.375" style="64" customWidth="1" collapsed="1"/>
    <col min="117" max="123" width="11.375" style="64" customWidth="1"/>
    <col min="124" max="124" width="5.75390625" style="61" customWidth="1"/>
    <col min="125" max="136" width="10.125" style="61" customWidth="1" outlineLevel="1"/>
    <col min="137" max="137" width="10.125" style="61" customWidth="1" outlineLevel="1" collapsed="1"/>
    <col min="138" max="140" width="10.125" style="61" customWidth="1" outlineLevel="1"/>
    <col min="141" max="141" width="10.125" style="61" customWidth="1" outlineLevel="1" collapsed="1"/>
    <col min="142" max="152" width="10.125" style="61" customWidth="1" outlineLevel="1"/>
    <col min="153" max="153" width="10.125" style="61" customWidth="1" outlineLevel="1" collapsed="1"/>
    <col min="154" max="156" width="10.125" style="61" customWidth="1" outlineLevel="1"/>
    <col min="157" max="157" width="10.125" style="61" customWidth="1" outlineLevel="1" collapsed="1"/>
    <col min="158" max="160" width="10.125" style="61" customWidth="1" outlineLevel="1"/>
    <col min="161" max="168" width="10.125" style="61" customWidth="1"/>
    <col min="169" max="169" width="5.75390625" style="61" customWidth="1"/>
    <col min="170" max="171" width="10.375" style="64" hidden="1" customWidth="1" outlineLevel="1"/>
    <col min="172" max="172" width="11.75390625" style="64" hidden="1" customWidth="1" outlineLevel="1"/>
    <col min="173" max="174" width="10.375" style="64" hidden="1" customWidth="1" outlineLevel="1"/>
    <col min="175" max="175" width="11.625" style="64" hidden="1" customWidth="1" outlineLevel="1"/>
    <col min="176" max="177" width="10.375" style="64" hidden="1" customWidth="1" outlineLevel="1"/>
    <col min="178" max="178" width="11.75390625" style="64" hidden="1" customWidth="1" outlineLevel="1"/>
    <col min="179" max="180" width="10.375" style="64" hidden="1" customWidth="1" outlineLevel="1"/>
    <col min="181" max="184" width="11.625" style="64" hidden="1" customWidth="1" outlineLevel="1"/>
    <col min="185" max="186" width="11.75390625" style="64" hidden="1" customWidth="1" outlineLevel="1"/>
    <col min="187" max="187" width="11.625" style="64" hidden="1" customWidth="1" outlineLevel="1"/>
    <col min="188" max="189" width="11.75390625" style="64" hidden="1" customWidth="1" outlineLevel="1"/>
    <col min="190" max="190" width="11.625" style="64" hidden="1" customWidth="1" outlineLevel="1"/>
    <col min="191" max="191" width="11.75390625" style="64" hidden="1" customWidth="1" outlineLevel="1"/>
    <col min="192" max="192" width="10.75390625" style="64" hidden="1" customWidth="1" outlineLevel="1"/>
    <col min="193" max="199" width="11.875" style="64" hidden="1" customWidth="1" outlineLevel="1"/>
    <col min="200" max="202" width="10.625" style="64" hidden="1" customWidth="1" outlineLevel="1"/>
    <col min="203" max="203" width="10.625" style="64" customWidth="1" collapsed="1"/>
    <col min="204" max="204" width="10.625" style="64" customWidth="1"/>
    <col min="205" max="16384" width="9.125" style="64" customWidth="1"/>
  </cols>
  <sheetData>
    <row r="1" spans="1:2" ht="18">
      <c r="A1" s="94" t="s">
        <v>298</v>
      </c>
      <c r="B1" s="94" t="s">
        <v>297</v>
      </c>
    </row>
    <row r="2" spans="1:202" ht="18">
      <c r="A2" s="94"/>
      <c r="B2" s="94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/>
      <c r="GS2" s="280"/>
      <c r="GT2" s="280"/>
    </row>
    <row r="3" spans="1:202" ht="15.75">
      <c r="A3" s="654" t="s">
        <v>219</v>
      </c>
      <c r="B3" s="654" t="s">
        <v>255</v>
      </c>
      <c r="C3" s="655" t="s">
        <v>300</v>
      </c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5"/>
      <c r="BH3" s="655"/>
      <c r="BI3" s="655"/>
      <c r="BJ3" s="655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T3" s="280"/>
    </row>
    <row r="4" spans="1:202" ht="15.75">
      <c r="A4" s="654"/>
      <c r="B4" s="654"/>
      <c r="C4" s="655" t="s">
        <v>299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55"/>
      <c r="AU4" s="655"/>
      <c r="AV4" s="655"/>
      <c r="AW4" s="655"/>
      <c r="AX4" s="655"/>
      <c r="AY4" s="655"/>
      <c r="AZ4" s="655"/>
      <c r="BA4" s="655"/>
      <c r="BB4" s="655"/>
      <c r="BC4" s="655"/>
      <c r="BD4" s="655"/>
      <c r="BE4" s="655"/>
      <c r="BF4" s="655"/>
      <c r="BG4" s="655"/>
      <c r="BH4" s="655"/>
      <c r="BI4" s="655"/>
      <c r="BJ4" s="655"/>
      <c r="FN4" s="280"/>
      <c r="FO4" s="280"/>
      <c r="FP4" s="280"/>
      <c r="FQ4" s="280"/>
      <c r="FR4" s="280"/>
      <c r="FS4" s="280"/>
      <c r="FT4" s="280"/>
      <c r="FU4" s="280"/>
      <c r="FV4" s="280"/>
      <c r="FW4" s="280"/>
      <c r="FX4" s="280"/>
      <c r="FY4" s="280"/>
      <c r="FZ4" s="280"/>
      <c r="GA4" s="280"/>
      <c r="GB4" s="280"/>
      <c r="GC4" s="280"/>
      <c r="GD4" s="280"/>
      <c r="GE4" s="280"/>
      <c r="GF4" s="280"/>
      <c r="GG4" s="280"/>
      <c r="GH4" s="280"/>
      <c r="GI4" s="280"/>
      <c r="GJ4" s="280"/>
      <c r="GK4" s="280"/>
      <c r="GL4" s="280"/>
      <c r="GM4" s="280"/>
      <c r="GN4" s="280"/>
      <c r="GO4" s="280"/>
      <c r="GP4" s="280"/>
      <c r="GQ4" s="280"/>
      <c r="GR4" s="280"/>
      <c r="GS4" s="280"/>
      <c r="GT4" s="280"/>
    </row>
    <row r="5" spans="1:202" ht="15.75">
      <c r="A5" s="96" t="s">
        <v>55</v>
      </c>
      <c r="B5" s="96" t="s">
        <v>53</v>
      </c>
      <c r="C5" s="328" t="s">
        <v>108</v>
      </c>
      <c r="D5" s="328" t="s">
        <v>109</v>
      </c>
      <c r="E5" s="328" t="s">
        <v>110</v>
      </c>
      <c r="F5" s="329" t="s">
        <v>111</v>
      </c>
      <c r="G5" s="330" t="s">
        <v>107</v>
      </c>
      <c r="H5" s="328" t="s">
        <v>140</v>
      </c>
      <c r="I5" s="328" t="s">
        <v>141</v>
      </c>
      <c r="J5" s="329" t="s">
        <v>143</v>
      </c>
      <c r="K5" s="330" t="s">
        <v>144</v>
      </c>
      <c r="L5" s="328" t="s">
        <v>145</v>
      </c>
      <c r="M5" s="328" t="s">
        <v>146</v>
      </c>
      <c r="N5" s="329" t="s">
        <v>147</v>
      </c>
      <c r="O5" s="330" t="s">
        <v>148</v>
      </c>
      <c r="P5" s="328" t="s">
        <v>149</v>
      </c>
      <c r="Q5" s="328" t="s">
        <v>151</v>
      </c>
      <c r="R5" s="328" t="s">
        <v>158</v>
      </c>
      <c r="S5" s="330" t="s">
        <v>164</v>
      </c>
      <c r="T5" s="328" t="s">
        <v>165</v>
      </c>
      <c r="U5" s="328" t="s">
        <v>166</v>
      </c>
      <c r="V5" s="328" t="s">
        <v>167</v>
      </c>
      <c r="W5" s="330" t="s">
        <v>196</v>
      </c>
      <c r="X5" s="328" t="s">
        <v>198</v>
      </c>
      <c r="Y5" s="328" t="s">
        <v>200</v>
      </c>
      <c r="Z5" s="328" t="s">
        <v>202</v>
      </c>
      <c r="AA5" s="330" t="s">
        <v>207</v>
      </c>
      <c r="AB5" s="328" t="s">
        <v>209</v>
      </c>
      <c r="AC5" s="328" t="s">
        <v>210</v>
      </c>
      <c r="AD5" s="328" t="s">
        <v>211</v>
      </c>
      <c r="AE5" s="330" t="s">
        <v>215</v>
      </c>
      <c r="AF5" s="328" t="s">
        <v>216</v>
      </c>
      <c r="AG5" s="328" t="s">
        <v>220</v>
      </c>
      <c r="AH5" s="455" t="s">
        <v>225</v>
      </c>
      <c r="AI5" s="466" t="s">
        <v>230</v>
      </c>
      <c r="AJ5" s="328" t="s">
        <v>232</v>
      </c>
      <c r="AK5" s="328" t="s">
        <v>237</v>
      </c>
      <c r="AL5" s="328" t="s">
        <v>239</v>
      </c>
      <c r="AM5" s="466" t="s">
        <v>246</v>
      </c>
      <c r="AN5" s="328" t="s">
        <v>247</v>
      </c>
      <c r="AO5" s="328" t="s">
        <v>249</v>
      </c>
      <c r="AP5" s="328" t="s">
        <v>251</v>
      </c>
      <c r="AQ5" s="330" t="s">
        <v>254</v>
      </c>
      <c r="AR5" s="328" t="s">
        <v>257</v>
      </c>
      <c r="AS5" s="328" t="s">
        <v>259</v>
      </c>
      <c r="AT5" s="328" t="s">
        <v>261</v>
      </c>
      <c r="AU5" s="466" t="s">
        <v>263</v>
      </c>
      <c r="AV5" s="328" t="s">
        <v>264</v>
      </c>
      <c r="AW5" s="328" t="s">
        <v>266</v>
      </c>
      <c r="AX5" s="455" t="s">
        <v>268</v>
      </c>
      <c r="AY5" s="330" t="s">
        <v>274</v>
      </c>
      <c r="AZ5" s="328" t="s">
        <v>275</v>
      </c>
      <c r="BA5" s="328" t="s">
        <v>277</v>
      </c>
      <c r="BB5" s="328" t="s">
        <v>279</v>
      </c>
      <c r="BC5" s="330" t="s">
        <v>281</v>
      </c>
      <c r="BD5" s="328" t="s">
        <v>282</v>
      </c>
      <c r="BE5" s="328" t="s">
        <v>286</v>
      </c>
      <c r="BF5" s="328" t="s">
        <v>291</v>
      </c>
      <c r="BG5" s="330" t="s">
        <v>293</v>
      </c>
      <c r="BH5" s="328" t="s">
        <v>294</v>
      </c>
      <c r="BI5" s="328" t="s">
        <v>296</v>
      </c>
      <c r="BJ5" s="328" t="s">
        <v>309</v>
      </c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</row>
    <row r="6" spans="1:202" ht="15">
      <c r="A6" s="116" t="s">
        <v>58</v>
      </c>
      <c r="B6" s="116" t="s">
        <v>2</v>
      </c>
      <c r="C6" s="252"/>
      <c r="D6" s="252"/>
      <c r="E6" s="252"/>
      <c r="F6" s="260"/>
      <c r="G6" s="259"/>
      <c r="H6" s="252"/>
      <c r="I6" s="252"/>
      <c r="J6" s="260"/>
      <c r="K6" s="259"/>
      <c r="L6" s="252"/>
      <c r="M6" s="252"/>
      <c r="N6" s="260"/>
      <c r="O6" s="259"/>
      <c r="P6" s="252"/>
      <c r="Q6" s="252"/>
      <c r="R6" s="252"/>
      <c r="S6" s="259"/>
      <c r="T6" s="252"/>
      <c r="U6" s="252"/>
      <c r="V6" s="252"/>
      <c r="W6" s="259"/>
      <c r="X6" s="252"/>
      <c r="Y6" s="252"/>
      <c r="Z6" s="252"/>
      <c r="AA6" s="259"/>
      <c r="AB6" s="252"/>
      <c r="AC6" s="252"/>
      <c r="AD6" s="252"/>
      <c r="AE6" s="259"/>
      <c r="AF6" s="252"/>
      <c r="AG6" s="252"/>
      <c r="AH6" s="267"/>
      <c r="AI6" s="275"/>
      <c r="AJ6" s="252"/>
      <c r="AK6" s="252"/>
      <c r="AL6" s="252"/>
      <c r="AM6" s="275"/>
      <c r="AN6" s="252"/>
      <c r="AO6" s="252"/>
      <c r="AP6" s="252"/>
      <c r="AQ6" s="259"/>
      <c r="AR6" s="252"/>
      <c r="AS6" s="252"/>
      <c r="AT6" s="252"/>
      <c r="AU6" s="275"/>
      <c r="AV6" s="252"/>
      <c r="AW6" s="252"/>
      <c r="AX6" s="267"/>
      <c r="AY6" s="259"/>
      <c r="AZ6" s="252"/>
      <c r="BA6" s="252"/>
      <c r="BB6" s="252"/>
      <c r="BC6" s="259">
        <f aca="true" t="shared" si="0" ref="BC6:BH6">BC65</f>
        <v>744.253</v>
      </c>
      <c r="BD6" s="252">
        <f t="shared" si="0"/>
        <v>654.012</v>
      </c>
      <c r="BE6" s="252">
        <f t="shared" si="0"/>
        <v>723.2279999999998</v>
      </c>
      <c r="BF6" s="252">
        <f t="shared" si="0"/>
        <v>694.863</v>
      </c>
      <c r="BG6" s="259">
        <f t="shared" si="0"/>
        <v>749.942</v>
      </c>
      <c r="BH6" s="252">
        <f t="shared" si="0"/>
        <v>757.5469999999999</v>
      </c>
      <c r="BI6" s="252">
        <f>BI65</f>
        <v>678.943</v>
      </c>
      <c r="BJ6" s="252">
        <f>BJ65</f>
        <v>765.7990000000002</v>
      </c>
      <c r="DL6" s="135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</row>
    <row r="7" spans="1:202" ht="30">
      <c r="A7" s="116" t="s">
        <v>304</v>
      </c>
      <c r="B7" s="116" t="s">
        <v>301</v>
      </c>
      <c r="C7" s="252"/>
      <c r="D7" s="252"/>
      <c r="E7" s="252"/>
      <c r="F7" s="260"/>
      <c r="G7" s="259"/>
      <c r="H7" s="252"/>
      <c r="I7" s="252"/>
      <c r="J7" s="260"/>
      <c r="K7" s="259"/>
      <c r="L7" s="252"/>
      <c r="M7" s="252"/>
      <c r="N7" s="260"/>
      <c r="O7" s="259"/>
      <c r="P7" s="252"/>
      <c r="Q7" s="252"/>
      <c r="R7" s="252"/>
      <c r="S7" s="259"/>
      <c r="T7" s="252"/>
      <c r="U7" s="252"/>
      <c r="V7" s="252"/>
      <c r="W7" s="259"/>
      <c r="X7" s="252"/>
      <c r="Y7" s="252"/>
      <c r="Z7" s="252"/>
      <c r="AA7" s="259"/>
      <c r="AB7" s="252"/>
      <c r="AC7" s="252"/>
      <c r="AD7" s="252"/>
      <c r="AE7" s="259"/>
      <c r="AF7" s="252"/>
      <c r="AG7" s="252"/>
      <c r="AH7" s="267"/>
      <c r="AI7" s="275"/>
      <c r="AJ7" s="252"/>
      <c r="AK7" s="252"/>
      <c r="AL7" s="252"/>
      <c r="AM7" s="275"/>
      <c r="AN7" s="252"/>
      <c r="AO7" s="252"/>
      <c r="AP7" s="252"/>
      <c r="AQ7" s="259"/>
      <c r="AR7" s="252"/>
      <c r="AS7" s="252"/>
      <c r="AT7" s="252"/>
      <c r="AU7" s="275"/>
      <c r="AV7" s="252"/>
      <c r="AW7" s="252"/>
      <c r="AX7" s="267"/>
      <c r="AY7" s="259"/>
      <c r="AZ7" s="252"/>
      <c r="BA7" s="252"/>
      <c r="BB7" s="252"/>
      <c r="BC7" s="259">
        <f aca="true" t="shared" si="1" ref="BC7:BH7">BC8+BC69+BC97</f>
        <v>842.703</v>
      </c>
      <c r="BD7" s="252">
        <f t="shared" si="1"/>
        <v>656.811</v>
      </c>
      <c r="BE7" s="252">
        <f t="shared" si="1"/>
        <v>792.5869999999998</v>
      </c>
      <c r="BF7" s="252">
        <f t="shared" si="1"/>
        <v>766.7310000000002</v>
      </c>
      <c r="BG7" s="259">
        <f t="shared" si="1"/>
        <v>803.2470000000001</v>
      </c>
      <c r="BH7" s="252">
        <f t="shared" si="1"/>
        <v>721.14</v>
      </c>
      <c r="BI7" s="252">
        <f>BI8+BI69+BI97</f>
        <v>708.556</v>
      </c>
      <c r="BJ7" s="252">
        <f>BJ8+BJ69+BJ97</f>
        <v>699.3565529999998</v>
      </c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</row>
    <row r="8" spans="1:202" ht="30">
      <c r="A8" s="566" t="s">
        <v>303</v>
      </c>
      <c r="B8" s="566" t="s">
        <v>302</v>
      </c>
      <c r="C8" s="252"/>
      <c r="D8" s="252"/>
      <c r="E8" s="252"/>
      <c r="F8" s="260"/>
      <c r="G8" s="259"/>
      <c r="H8" s="252"/>
      <c r="I8" s="252"/>
      <c r="J8" s="260"/>
      <c r="K8" s="259"/>
      <c r="L8" s="252"/>
      <c r="M8" s="252"/>
      <c r="N8" s="260"/>
      <c r="O8" s="259"/>
      <c r="P8" s="252"/>
      <c r="Q8" s="252"/>
      <c r="R8" s="252"/>
      <c r="S8" s="259"/>
      <c r="T8" s="252"/>
      <c r="U8" s="252"/>
      <c r="V8" s="252"/>
      <c r="W8" s="259"/>
      <c r="X8" s="252"/>
      <c r="Y8" s="252"/>
      <c r="Z8" s="252"/>
      <c r="AA8" s="259"/>
      <c r="AB8" s="252"/>
      <c r="AC8" s="252"/>
      <c r="AD8" s="252"/>
      <c r="AE8" s="259"/>
      <c r="AF8" s="252"/>
      <c r="AG8" s="252"/>
      <c r="AH8" s="267"/>
      <c r="AI8" s="275"/>
      <c r="AJ8" s="252"/>
      <c r="AK8" s="252"/>
      <c r="AL8" s="252"/>
      <c r="AM8" s="275"/>
      <c r="AN8" s="252"/>
      <c r="AO8" s="252"/>
      <c r="AP8" s="252"/>
      <c r="AQ8" s="259"/>
      <c r="AR8" s="252"/>
      <c r="AS8" s="252"/>
      <c r="AT8" s="252"/>
      <c r="AU8" s="275"/>
      <c r="AV8" s="252"/>
      <c r="AW8" s="252"/>
      <c r="AX8" s="267"/>
      <c r="AY8" s="259"/>
      <c r="AZ8" s="252"/>
      <c r="BA8" s="252"/>
      <c r="BB8" s="252"/>
      <c r="BC8" s="593">
        <v>81.716</v>
      </c>
      <c r="BD8" s="568">
        <v>48.57900000000001</v>
      </c>
      <c r="BE8" s="568">
        <v>114.31699999999991</v>
      </c>
      <c r="BF8" s="568">
        <v>123.75200000000012</v>
      </c>
      <c r="BG8" s="593">
        <v>120.41300000000004</v>
      </c>
      <c r="BH8" s="568">
        <v>131.35999999999993</v>
      </c>
      <c r="BI8" s="568">
        <v>54.937</v>
      </c>
      <c r="BJ8" s="568">
        <f>Annually!U9-BG8-BH8-BI8</f>
        <v>61.19800000000005</v>
      </c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0"/>
      <c r="FZ8" s="280"/>
      <c r="GA8" s="280"/>
      <c r="GB8" s="280"/>
      <c r="GC8" s="280"/>
      <c r="GD8" s="280"/>
      <c r="GE8" s="280"/>
      <c r="GF8" s="280"/>
      <c r="GG8" s="280"/>
      <c r="GH8" s="280"/>
      <c r="GI8" s="280"/>
      <c r="GJ8" s="280"/>
      <c r="GK8" s="280"/>
      <c r="GL8" s="280"/>
      <c r="GM8" s="280"/>
      <c r="GN8" s="280"/>
      <c r="GO8" s="280"/>
      <c r="GP8" s="280"/>
      <c r="GQ8" s="280"/>
      <c r="GR8" s="280"/>
      <c r="GS8" s="280"/>
      <c r="GT8" s="280"/>
    </row>
    <row r="9" spans="1:202" ht="30">
      <c r="A9" s="116" t="s">
        <v>306</v>
      </c>
      <c r="B9" s="116" t="s">
        <v>305</v>
      </c>
      <c r="C9" s="252"/>
      <c r="D9" s="252"/>
      <c r="E9" s="252"/>
      <c r="F9" s="260"/>
      <c r="G9" s="259"/>
      <c r="H9" s="252"/>
      <c r="I9" s="252"/>
      <c r="J9" s="260"/>
      <c r="K9" s="259"/>
      <c r="L9" s="252"/>
      <c r="M9" s="252"/>
      <c r="N9" s="260"/>
      <c r="O9" s="259"/>
      <c r="P9" s="252"/>
      <c r="Q9" s="252"/>
      <c r="R9" s="252"/>
      <c r="S9" s="259"/>
      <c r="T9" s="252"/>
      <c r="U9" s="252"/>
      <c r="V9" s="252"/>
      <c r="W9" s="259"/>
      <c r="X9" s="252"/>
      <c r="Y9" s="252"/>
      <c r="Z9" s="252"/>
      <c r="AA9" s="259"/>
      <c r="AB9" s="252"/>
      <c r="AC9" s="252"/>
      <c r="AD9" s="252"/>
      <c r="AE9" s="259"/>
      <c r="AF9" s="252"/>
      <c r="AG9" s="252"/>
      <c r="AH9" s="267"/>
      <c r="AI9" s="275"/>
      <c r="AJ9" s="252"/>
      <c r="AK9" s="252"/>
      <c r="AL9" s="252"/>
      <c r="AM9" s="275"/>
      <c r="AN9" s="252"/>
      <c r="AO9" s="252"/>
      <c r="AP9" s="252"/>
      <c r="AQ9" s="259"/>
      <c r="AR9" s="252"/>
      <c r="AS9" s="252"/>
      <c r="AT9" s="252"/>
      <c r="AU9" s="275"/>
      <c r="AV9" s="252"/>
      <c r="AW9" s="252"/>
      <c r="AX9" s="267"/>
      <c r="AY9" s="259"/>
      <c r="AZ9" s="252"/>
      <c r="BA9" s="252"/>
      <c r="BB9" s="252"/>
      <c r="BC9" s="259">
        <f>BC71+BC98</f>
        <v>471.75899999999996</v>
      </c>
      <c r="BD9" s="252">
        <f aca="true" t="shared" si="2" ref="BD9:BI9">BD71+BD98</f>
        <v>415.286</v>
      </c>
      <c r="BE9" s="252">
        <f t="shared" si="2"/>
        <v>490.265</v>
      </c>
      <c r="BF9" s="252">
        <f t="shared" si="2"/>
        <v>528.7550000000001</v>
      </c>
      <c r="BG9" s="259">
        <f t="shared" si="2"/>
        <v>499.89000000000004</v>
      </c>
      <c r="BH9" s="252">
        <f t="shared" si="2"/>
        <v>505.0729999999999</v>
      </c>
      <c r="BI9" s="252">
        <f t="shared" si="2"/>
        <v>445.07800000000003</v>
      </c>
      <c r="BJ9" s="252">
        <f>BJ71+BJ98</f>
        <v>553.583</v>
      </c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</row>
    <row r="10" spans="1:202" ht="15">
      <c r="A10" s="116" t="s">
        <v>106</v>
      </c>
      <c r="B10" s="116" t="s">
        <v>150</v>
      </c>
      <c r="C10" s="252"/>
      <c r="D10" s="252"/>
      <c r="E10" s="252"/>
      <c r="F10" s="260"/>
      <c r="G10" s="259"/>
      <c r="H10" s="252"/>
      <c r="I10" s="252"/>
      <c r="J10" s="260"/>
      <c r="K10" s="259"/>
      <c r="L10" s="252"/>
      <c r="M10" s="252"/>
      <c r="N10" s="260"/>
      <c r="O10" s="259"/>
      <c r="P10" s="252"/>
      <c r="Q10" s="252"/>
      <c r="R10" s="252"/>
      <c r="S10" s="259"/>
      <c r="T10" s="252"/>
      <c r="U10" s="252"/>
      <c r="V10" s="252"/>
      <c r="W10" s="259"/>
      <c r="X10" s="252"/>
      <c r="Y10" s="252"/>
      <c r="Z10" s="252"/>
      <c r="AA10" s="259"/>
      <c r="AB10" s="252"/>
      <c r="AC10" s="252"/>
      <c r="AD10" s="252"/>
      <c r="AE10" s="259"/>
      <c r="AF10" s="252"/>
      <c r="AG10" s="252"/>
      <c r="AH10" s="267"/>
      <c r="AI10" s="275"/>
      <c r="AJ10" s="252"/>
      <c r="AK10" s="252"/>
      <c r="AL10" s="252"/>
      <c r="AM10" s="275"/>
      <c r="AN10" s="252"/>
      <c r="AO10" s="252"/>
      <c r="AP10" s="252"/>
      <c r="AQ10" s="259"/>
      <c r="AR10" s="252"/>
      <c r="AS10" s="252"/>
      <c r="AT10" s="252"/>
      <c r="AU10" s="275"/>
      <c r="AV10" s="252"/>
      <c r="AW10" s="252"/>
      <c r="AX10" s="267"/>
      <c r="AY10" s="259"/>
      <c r="AZ10" s="252"/>
      <c r="BA10" s="252"/>
      <c r="BB10" s="252"/>
      <c r="BC10" s="259">
        <f aca="true" t="shared" si="3" ref="BC10:BH10">BC81</f>
        <v>586.6560000000001</v>
      </c>
      <c r="BD10" s="252">
        <f t="shared" si="3"/>
        <v>566.15836</v>
      </c>
      <c r="BE10" s="252">
        <f t="shared" si="3"/>
        <v>546.38064</v>
      </c>
      <c r="BF10" s="252">
        <f t="shared" si="3"/>
        <v>526.7010000000001</v>
      </c>
      <c r="BG10" s="259">
        <f t="shared" si="3"/>
        <v>595.5630000000001</v>
      </c>
      <c r="BH10" s="252">
        <f t="shared" si="3"/>
        <v>594.628</v>
      </c>
      <c r="BI10" s="252">
        <f>BI81</f>
        <v>574.9259999999999</v>
      </c>
      <c r="BJ10" s="252">
        <f>BJ81</f>
        <v>602.655</v>
      </c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</row>
    <row r="11" spans="1:202" ht="15">
      <c r="A11" s="116" t="s">
        <v>154</v>
      </c>
      <c r="B11" s="116" t="s">
        <v>155</v>
      </c>
      <c r="C11" s="252"/>
      <c r="D11" s="252"/>
      <c r="E11" s="252"/>
      <c r="F11" s="260"/>
      <c r="G11" s="259"/>
      <c r="H11" s="252"/>
      <c r="I11" s="252"/>
      <c r="J11" s="260"/>
      <c r="K11" s="259"/>
      <c r="L11" s="252"/>
      <c r="M11" s="252"/>
      <c r="N11" s="260"/>
      <c r="O11" s="259"/>
      <c r="P11" s="252"/>
      <c r="Q11" s="252"/>
      <c r="R11" s="252"/>
      <c r="S11" s="259"/>
      <c r="T11" s="252"/>
      <c r="U11" s="252"/>
      <c r="V11" s="252"/>
      <c r="W11" s="259"/>
      <c r="X11" s="252"/>
      <c r="Y11" s="252"/>
      <c r="Z11" s="252"/>
      <c r="AA11" s="259"/>
      <c r="AB11" s="252"/>
      <c r="AC11" s="252"/>
      <c r="AD11" s="252"/>
      <c r="AE11" s="259"/>
      <c r="AF11" s="252"/>
      <c r="AG11" s="252"/>
      <c r="AH11" s="267"/>
      <c r="AI11" s="275"/>
      <c r="AJ11" s="252"/>
      <c r="AK11" s="252"/>
      <c r="AL11" s="252"/>
      <c r="AM11" s="259"/>
      <c r="AN11" s="252"/>
      <c r="AO11" s="252"/>
      <c r="AP11" s="252"/>
      <c r="AQ11" s="259"/>
      <c r="AR11" s="252"/>
      <c r="AS11" s="252"/>
      <c r="AT11" s="252"/>
      <c r="AU11" s="275"/>
      <c r="AV11" s="252"/>
      <c r="AW11" s="252"/>
      <c r="AX11" s="267"/>
      <c r="AY11" s="259"/>
      <c r="AZ11" s="252"/>
      <c r="BA11" s="252"/>
      <c r="BB11" s="252"/>
      <c r="BC11" s="259">
        <f aca="true" t="shared" si="4" ref="BC11:BH11">BC107</f>
        <v>294.243</v>
      </c>
      <c r="BD11" s="252">
        <f t="shared" si="4"/>
        <v>272.02799999999996</v>
      </c>
      <c r="BE11" s="252">
        <f t="shared" si="4"/>
        <v>313.874</v>
      </c>
      <c r="BF11" s="252">
        <f t="shared" si="4"/>
        <v>290.2350000000001</v>
      </c>
      <c r="BG11" s="259">
        <f t="shared" si="4"/>
        <v>306.969</v>
      </c>
      <c r="BH11" s="252">
        <f t="shared" si="4"/>
        <v>297.406</v>
      </c>
      <c r="BI11" s="252">
        <f>BI107</f>
        <v>275.742</v>
      </c>
      <c r="BJ11" s="252">
        <f>BJ107</f>
        <v>284.06200000000007</v>
      </c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</row>
    <row r="12" spans="1:202" ht="18">
      <c r="A12" s="94"/>
      <c r="B12" s="94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</row>
    <row r="13" spans="1:2" ht="18">
      <c r="A13" s="94" t="s">
        <v>183</v>
      </c>
      <c r="B13" s="94" t="s">
        <v>187</v>
      </c>
    </row>
    <row r="14" spans="1:202" ht="18">
      <c r="A14" s="94"/>
      <c r="B14" s="94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0"/>
      <c r="GJ14" s="280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</row>
    <row r="15" spans="1:184" ht="15.75" hidden="1" outlineLevel="1">
      <c r="A15" s="654" t="s">
        <v>229</v>
      </c>
      <c r="B15" s="654" t="s">
        <v>227</v>
      </c>
      <c r="C15" s="655" t="s">
        <v>52</v>
      </c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655"/>
      <c r="AA15" s="655"/>
      <c r="AB15" s="655"/>
      <c r="AC15" s="655"/>
      <c r="AD15" s="655"/>
      <c r="AE15" s="655"/>
      <c r="AF15" s="655"/>
      <c r="AG15" s="655"/>
      <c r="AH15" s="655"/>
      <c r="AI15" s="448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656" t="s">
        <v>171</v>
      </c>
      <c r="BM15" s="656"/>
      <c r="BN15" s="656"/>
      <c r="BO15" s="656"/>
      <c r="BP15" s="656"/>
      <c r="BQ15" s="656"/>
      <c r="BR15" s="656"/>
      <c r="BS15" s="656"/>
      <c r="BT15" s="656"/>
      <c r="BU15" s="656"/>
      <c r="BV15" s="656"/>
      <c r="BW15" s="656"/>
      <c r="BX15" s="656"/>
      <c r="BY15" s="656"/>
      <c r="BZ15" s="656"/>
      <c r="CA15" s="656"/>
      <c r="CB15" s="656"/>
      <c r="CC15" s="656"/>
      <c r="CD15" s="656"/>
      <c r="CE15" s="656"/>
      <c r="CF15" s="656"/>
      <c r="CG15" s="656"/>
      <c r="CH15" s="656"/>
      <c r="CI15" s="656"/>
      <c r="CJ15" s="656"/>
      <c r="CK15" s="656"/>
      <c r="CL15" s="656"/>
      <c r="CM15" s="656"/>
      <c r="CN15" s="656"/>
      <c r="CO15" s="656"/>
      <c r="CP15" s="656"/>
      <c r="CQ15" s="656"/>
      <c r="CR15" s="448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/>
      <c r="DS15" s="300"/>
      <c r="DT15" s="462"/>
      <c r="DU15" s="661" t="s">
        <v>191</v>
      </c>
      <c r="DV15" s="662"/>
      <c r="DW15" s="662"/>
      <c r="DX15" s="662"/>
      <c r="DY15" s="662"/>
      <c r="DZ15" s="662"/>
      <c r="EA15" s="662"/>
      <c r="EB15" s="662"/>
      <c r="EC15" s="662"/>
      <c r="ED15" s="662"/>
      <c r="EE15" s="662"/>
      <c r="EF15" s="662"/>
      <c r="EG15" s="662"/>
      <c r="EH15" s="662"/>
      <c r="EI15" s="662"/>
      <c r="EJ15" s="663"/>
      <c r="EK15" s="463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N15" s="658" t="s">
        <v>170</v>
      </c>
      <c r="FO15" s="659"/>
      <c r="FP15" s="659"/>
      <c r="FQ15" s="659"/>
      <c r="FR15" s="659"/>
      <c r="FS15" s="659"/>
      <c r="FT15" s="659"/>
      <c r="FU15" s="659"/>
      <c r="FV15" s="659"/>
      <c r="FW15" s="659"/>
      <c r="FX15" s="659"/>
      <c r="FY15" s="660"/>
      <c r="FZ15" s="463"/>
      <c r="GA15" s="247"/>
      <c r="GB15" s="247"/>
    </row>
    <row r="16" spans="1:184" ht="18" customHeight="1" hidden="1" outlineLevel="1">
      <c r="A16" s="654"/>
      <c r="B16" s="654"/>
      <c r="C16" s="655" t="s">
        <v>54</v>
      </c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448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656" t="s">
        <v>172</v>
      </c>
      <c r="BM16" s="656"/>
      <c r="BN16" s="656"/>
      <c r="BO16" s="656"/>
      <c r="BP16" s="656"/>
      <c r="BQ16" s="656"/>
      <c r="BR16" s="656"/>
      <c r="BS16" s="656"/>
      <c r="BT16" s="656"/>
      <c r="BU16" s="656"/>
      <c r="BV16" s="656"/>
      <c r="BW16" s="656"/>
      <c r="BX16" s="656"/>
      <c r="BY16" s="656"/>
      <c r="BZ16" s="656"/>
      <c r="CA16" s="656"/>
      <c r="CB16" s="656"/>
      <c r="CC16" s="656"/>
      <c r="CD16" s="656"/>
      <c r="CE16" s="656"/>
      <c r="CF16" s="656"/>
      <c r="CG16" s="656"/>
      <c r="CH16" s="656"/>
      <c r="CI16" s="656"/>
      <c r="CJ16" s="656"/>
      <c r="CK16" s="656"/>
      <c r="CL16" s="656"/>
      <c r="CM16" s="656"/>
      <c r="CN16" s="656"/>
      <c r="CO16" s="656"/>
      <c r="CP16" s="656"/>
      <c r="CQ16" s="656"/>
      <c r="CR16" s="448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462"/>
      <c r="DU16" s="661" t="s">
        <v>168</v>
      </c>
      <c r="DV16" s="662"/>
      <c r="DW16" s="662"/>
      <c r="DX16" s="662"/>
      <c r="DY16" s="662"/>
      <c r="DZ16" s="662"/>
      <c r="EA16" s="662"/>
      <c r="EB16" s="662"/>
      <c r="EC16" s="662"/>
      <c r="ED16" s="662"/>
      <c r="EE16" s="662"/>
      <c r="EF16" s="662"/>
      <c r="EG16" s="662"/>
      <c r="EH16" s="662"/>
      <c r="EI16" s="662"/>
      <c r="EJ16" s="663"/>
      <c r="EK16" s="463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N16" s="658" t="s">
        <v>168</v>
      </c>
      <c r="FO16" s="659"/>
      <c r="FP16" s="659"/>
      <c r="FQ16" s="659"/>
      <c r="FR16" s="659"/>
      <c r="FS16" s="659"/>
      <c r="FT16" s="659"/>
      <c r="FU16" s="659"/>
      <c r="FV16" s="659"/>
      <c r="FW16" s="659"/>
      <c r="FX16" s="659"/>
      <c r="FY16" s="660"/>
      <c r="FZ16" s="463"/>
      <c r="GA16" s="247"/>
      <c r="GB16" s="247"/>
    </row>
    <row r="17" spans="1:184" s="68" customFormat="1" ht="15.75" hidden="1" outlineLevel="1">
      <c r="A17" s="96" t="s">
        <v>55</v>
      </c>
      <c r="B17" s="96" t="s">
        <v>53</v>
      </c>
      <c r="C17" s="328" t="s">
        <v>108</v>
      </c>
      <c r="D17" s="328" t="s">
        <v>109</v>
      </c>
      <c r="E17" s="328" t="s">
        <v>110</v>
      </c>
      <c r="F17" s="329" t="s">
        <v>111</v>
      </c>
      <c r="G17" s="330" t="s">
        <v>107</v>
      </c>
      <c r="H17" s="328" t="s">
        <v>140</v>
      </c>
      <c r="I17" s="328" t="s">
        <v>141</v>
      </c>
      <c r="J17" s="329" t="s">
        <v>143</v>
      </c>
      <c r="K17" s="330" t="s">
        <v>144</v>
      </c>
      <c r="L17" s="328" t="s">
        <v>145</v>
      </c>
      <c r="M17" s="328" t="s">
        <v>146</v>
      </c>
      <c r="N17" s="329" t="s">
        <v>147</v>
      </c>
      <c r="O17" s="330" t="s">
        <v>148</v>
      </c>
      <c r="P17" s="328" t="s">
        <v>149</v>
      </c>
      <c r="Q17" s="328" t="s">
        <v>151</v>
      </c>
      <c r="R17" s="328" t="s">
        <v>158</v>
      </c>
      <c r="S17" s="330" t="s">
        <v>164</v>
      </c>
      <c r="T17" s="328" t="s">
        <v>165</v>
      </c>
      <c r="U17" s="328" t="s">
        <v>166</v>
      </c>
      <c r="V17" s="328" t="s">
        <v>167</v>
      </c>
      <c r="W17" s="330" t="s">
        <v>196</v>
      </c>
      <c r="X17" s="328" t="s">
        <v>198</v>
      </c>
      <c r="Y17" s="328" t="s">
        <v>200</v>
      </c>
      <c r="Z17" s="328" t="s">
        <v>202</v>
      </c>
      <c r="AA17" s="330" t="s">
        <v>207</v>
      </c>
      <c r="AB17" s="328" t="s">
        <v>209</v>
      </c>
      <c r="AC17" s="328" t="s">
        <v>210</v>
      </c>
      <c r="AD17" s="328" t="s">
        <v>211</v>
      </c>
      <c r="AE17" s="330" t="s">
        <v>215</v>
      </c>
      <c r="AF17" s="328" t="s">
        <v>216</v>
      </c>
      <c r="AG17" s="328" t="s">
        <v>220</v>
      </c>
      <c r="AH17" s="328" t="s">
        <v>225</v>
      </c>
      <c r="AI17" s="448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32" t="s">
        <v>108</v>
      </c>
      <c r="BM17" s="332" t="s">
        <v>109</v>
      </c>
      <c r="BN17" s="332" t="s">
        <v>110</v>
      </c>
      <c r="BO17" s="333" t="s">
        <v>111</v>
      </c>
      <c r="BP17" s="334" t="s">
        <v>107</v>
      </c>
      <c r="BQ17" s="332" t="s">
        <v>140</v>
      </c>
      <c r="BR17" s="332" t="s">
        <v>141</v>
      </c>
      <c r="BS17" s="333" t="s">
        <v>143</v>
      </c>
      <c r="BT17" s="334" t="s">
        <v>144</v>
      </c>
      <c r="BU17" s="332" t="s">
        <v>145</v>
      </c>
      <c r="BV17" s="332" t="s">
        <v>146</v>
      </c>
      <c r="BW17" s="333" t="s">
        <v>147</v>
      </c>
      <c r="BX17" s="334" t="s">
        <v>148</v>
      </c>
      <c r="BY17" s="332" t="s">
        <v>149</v>
      </c>
      <c r="BZ17" s="332" t="s">
        <v>151</v>
      </c>
      <c r="CA17" s="332" t="s">
        <v>158</v>
      </c>
      <c r="CB17" s="334" t="s">
        <v>164</v>
      </c>
      <c r="CC17" s="332" t="s">
        <v>165</v>
      </c>
      <c r="CD17" s="332" t="s">
        <v>166</v>
      </c>
      <c r="CE17" s="332" t="s">
        <v>167</v>
      </c>
      <c r="CF17" s="334" t="s">
        <v>196</v>
      </c>
      <c r="CG17" s="332" t="s">
        <v>198</v>
      </c>
      <c r="CH17" s="332" t="s">
        <v>200</v>
      </c>
      <c r="CI17" s="332" t="s">
        <v>202</v>
      </c>
      <c r="CJ17" s="334" t="s">
        <v>207</v>
      </c>
      <c r="CK17" s="332" t="s">
        <v>209</v>
      </c>
      <c r="CL17" s="332" t="s">
        <v>210</v>
      </c>
      <c r="CM17" s="403" t="s">
        <v>211</v>
      </c>
      <c r="CN17" s="334" t="s">
        <v>215</v>
      </c>
      <c r="CO17" s="332" t="s">
        <v>216</v>
      </c>
      <c r="CP17" s="332" t="s">
        <v>220</v>
      </c>
      <c r="CQ17" s="332" t="s">
        <v>225</v>
      </c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247"/>
      <c r="DU17" s="348" t="s">
        <v>164</v>
      </c>
      <c r="DV17" s="348" t="s">
        <v>165</v>
      </c>
      <c r="DW17" s="348" t="s">
        <v>166</v>
      </c>
      <c r="DX17" s="349" t="s">
        <v>167</v>
      </c>
      <c r="DY17" s="350" t="s">
        <v>196</v>
      </c>
      <c r="DZ17" s="348" t="s">
        <v>198</v>
      </c>
      <c r="EA17" s="348" t="s">
        <v>200</v>
      </c>
      <c r="EB17" s="349" t="s">
        <v>202</v>
      </c>
      <c r="EC17" s="350" t="s">
        <v>207</v>
      </c>
      <c r="ED17" s="348" t="s">
        <v>209</v>
      </c>
      <c r="EE17" s="348" t="s">
        <v>210</v>
      </c>
      <c r="EF17" s="348" t="s">
        <v>211</v>
      </c>
      <c r="EG17" s="350" t="s">
        <v>215</v>
      </c>
      <c r="EH17" s="348" t="s">
        <v>216</v>
      </c>
      <c r="EI17" s="348" t="s">
        <v>220</v>
      </c>
      <c r="EJ17" s="348" t="s">
        <v>225</v>
      </c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0"/>
      <c r="FF17" s="300"/>
      <c r="FG17" s="300"/>
      <c r="FH17" s="300"/>
      <c r="FI17" s="300"/>
      <c r="FJ17" s="300"/>
      <c r="FK17" s="300"/>
      <c r="FL17" s="300"/>
      <c r="FM17" s="247"/>
      <c r="FN17" s="389" t="s">
        <v>173</v>
      </c>
      <c r="FO17" s="389" t="s">
        <v>169</v>
      </c>
      <c r="FP17" s="389" t="s">
        <v>174</v>
      </c>
      <c r="FQ17" s="389" t="s">
        <v>199</v>
      </c>
      <c r="FR17" s="389" t="s">
        <v>201</v>
      </c>
      <c r="FS17" s="389" t="s">
        <v>206</v>
      </c>
      <c r="FT17" s="389" t="s">
        <v>208</v>
      </c>
      <c r="FU17" s="389" t="s">
        <v>212</v>
      </c>
      <c r="FV17" s="389" t="s">
        <v>213</v>
      </c>
      <c r="FW17" s="389" t="s">
        <v>217</v>
      </c>
      <c r="FX17" s="389" t="s">
        <v>221</v>
      </c>
      <c r="FY17" s="389" t="s">
        <v>224</v>
      </c>
      <c r="FZ17" s="448"/>
      <c r="GA17" s="300"/>
      <c r="GB17" s="300"/>
    </row>
    <row r="18" spans="1:184" ht="15.75" hidden="1" outlineLevel="1">
      <c r="A18" s="98" t="s">
        <v>58</v>
      </c>
      <c r="B18" s="98" t="s">
        <v>2</v>
      </c>
      <c r="C18" s="254">
        <v>434.197</v>
      </c>
      <c r="D18" s="254">
        <v>386.99199999999996</v>
      </c>
      <c r="E18" s="254">
        <v>417.899</v>
      </c>
      <c r="F18" s="255">
        <v>442.97500000000014</v>
      </c>
      <c r="G18" s="253">
        <v>438.7</v>
      </c>
      <c r="H18" s="254">
        <v>446.8999999999999</v>
      </c>
      <c r="I18" s="254">
        <f aca="true" t="shared" si="5" ref="I18:AF18">I124+I171+I220</f>
        <v>393.41400000000004</v>
      </c>
      <c r="J18" s="255">
        <f t="shared" si="5"/>
        <v>443.3999999999999</v>
      </c>
      <c r="K18" s="253">
        <f t="shared" si="5"/>
        <v>462.364</v>
      </c>
      <c r="L18" s="254">
        <f t="shared" si="5"/>
        <v>437.82400000000007</v>
      </c>
      <c r="M18" s="254">
        <f t="shared" si="5"/>
        <v>406.06700000000006</v>
      </c>
      <c r="N18" s="255">
        <f t="shared" si="5"/>
        <v>463.54499999999996</v>
      </c>
      <c r="O18" s="253">
        <f t="shared" si="5"/>
        <v>475.104</v>
      </c>
      <c r="P18" s="254">
        <f t="shared" si="5"/>
        <v>470.8</v>
      </c>
      <c r="Q18" s="254">
        <f t="shared" si="5"/>
        <v>393.8599999999999</v>
      </c>
      <c r="R18" s="254">
        <f t="shared" si="5"/>
        <v>443.33299999999986</v>
      </c>
      <c r="S18" s="253">
        <f t="shared" si="5"/>
        <v>482.4</v>
      </c>
      <c r="T18" s="254">
        <f t="shared" si="5"/>
        <v>472.19700000000006</v>
      </c>
      <c r="U18" s="254">
        <f t="shared" si="5"/>
        <v>474.04600000000005</v>
      </c>
      <c r="V18" s="254">
        <f t="shared" si="5"/>
        <v>487.8709999999999</v>
      </c>
      <c r="W18" s="253">
        <f t="shared" si="5"/>
        <v>472.635</v>
      </c>
      <c r="X18" s="254">
        <f t="shared" si="5"/>
        <v>479.451</v>
      </c>
      <c r="Y18" s="254">
        <f t="shared" si="5"/>
        <v>448.1140000000001</v>
      </c>
      <c r="Z18" s="254">
        <f t="shared" si="5"/>
        <v>421.6</v>
      </c>
      <c r="AA18" s="253">
        <f t="shared" si="5"/>
        <v>450.42100000000005</v>
      </c>
      <c r="AB18" s="254">
        <f t="shared" si="5"/>
        <v>410.53599999999994</v>
      </c>
      <c r="AC18" s="254">
        <f t="shared" si="5"/>
        <v>418.404</v>
      </c>
      <c r="AD18" s="254">
        <f t="shared" si="5"/>
        <v>485.6400000000001</v>
      </c>
      <c r="AE18" s="253">
        <f t="shared" si="5"/>
        <v>466.94699999999995</v>
      </c>
      <c r="AF18" s="254">
        <f t="shared" si="5"/>
        <v>489.60999999999996</v>
      </c>
      <c r="AG18" s="254"/>
      <c r="AH18" s="254"/>
      <c r="AI18" s="449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86">
        <v>71.8406</v>
      </c>
      <c r="BM18" s="86">
        <v>40.73271</v>
      </c>
      <c r="BN18" s="86">
        <v>53.899670000000015</v>
      </c>
      <c r="BO18" s="87">
        <v>93.55710999999997</v>
      </c>
      <c r="BP18" s="88">
        <v>73.1</v>
      </c>
      <c r="BQ18" s="89">
        <v>67.35401000000002</v>
      </c>
      <c r="BR18" s="89">
        <f aca="true" t="shared" si="6" ref="BR18:CI18">BR124+BR171+BR220</f>
        <v>72.04598999999999</v>
      </c>
      <c r="BS18" s="90">
        <f t="shared" si="6"/>
        <v>50.30000000000001</v>
      </c>
      <c r="BT18" s="88">
        <f t="shared" si="6"/>
        <v>49.004</v>
      </c>
      <c r="BU18" s="89">
        <f t="shared" si="6"/>
        <v>48.984410000000004</v>
      </c>
      <c r="BV18" s="89">
        <f t="shared" si="6"/>
        <v>38.527590000000004</v>
      </c>
      <c r="BW18" s="90">
        <f t="shared" si="6"/>
        <v>59.08399999999999</v>
      </c>
      <c r="BX18" s="88">
        <f t="shared" si="6"/>
        <v>34.116</v>
      </c>
      <c r="BY18" s="89">
        <f t="shared" si="6"/>
        <v>33.02128</v>
      </c>
      <c r="BZ18" s="89">
        <f t="shared" si="6"/>
        <v>46.86272000000001</v>
      </c>
      <c r="CA18" s="89">
        <f t="shared" si="6"/>
        <v>38.050119999999986</v>
      </c>
      <c r="CB18" s="88">
        <f t="shared" si="6"/>
        <v>25.4</v>
      </c>
      <c r="CC18" s="89">
        <f t="shared" si="6"/>
        <v>50.415099999999995</v>
      </c>
      <c r="CD18" s="89">
        <f t="shared" si="6"/>
        <v>34.82321999999999</v>
      </c>
      <c r="CE18" s="89">
        <f t="shared" si="6"/>
        <v>43.56168000000001</v>
      </c>
      <c r="CF18" s="88">
        <f t="shared" si="6"/>
        <v>11.84554</v>
      </c>
      <c r="CG18" s="89">
        <f t="shared" si="6"/>
        <v>32.082119999999996</v>
      </c>
      <c r="CH18" s="89">
        <f t="shared" si="6"/>
        <v>29.872339999999998</v>
      </c>
      <c r="CI18" s="89">
        <f t="shared" si="6"/>
        <v>41.90000000000001</v>
      </c>
      <c r="CJ18" s="88">
        <f aca="true" t="shared" si="7" ref="CJ18:CO18">CJ124-CJ125+CJ171-CJ172+CJ220</f>
        <v>8.92197</v>
      </c>
      <c r="CK18" s="89">
        <f t="shared" si="7"/>
        <v>7.101879999999998</v>
      </c>
      <c r="CL18" s="89">
        <f t="shared" si="7"/>
        <v>10.162930000000005</v>
      </c>
      <c r="CM18" s="404">
        <f t="shared" si="7"/>
        <v>5.599499999999997</v>
      </c>
      <c r="CN18" s="88">
        <f t="shared" si="7"/>
        <v>1.776</v>
      </c>
      <c r="CO18" s="89">
        <f t="shared" si="7"/>
        <v>33.67704</v>
      </c>
      <c r="CP18" s="89"/>
      <c r="CQ18" s="89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91"/>
      <c r="DU18" s="92">
        <v>27.2</v>
      </c>
      <c r="DV18" s="92">
        <v>37.099999999999994</v>
      </c>
      <c r="DW18" s="92">
        <v>48.10000000000001</v>
      </c>
      <c r="DX18" s="338">
        <v>48.5</v>
      </c>
      <c r="DY18" s="339">
        <v>13.72587</v>
      </c>
      <c r="DZ18" s="92">
        <f>FQ18-DY18</f>
        <v>31.80474000000001</v>
      </c>
      <c r="EA18" s="92">
        <f>FR18-FQ18</f>
        <v>17.89049999999999</v>
      </c>
      <c r="EB18" s="338">
        <f>FS18-FR18</f>
        <v>48.678889999999996</v>
      </c>
      <c r="EC18" s="339">
        <v>9.335280000000001</v>
      </c>
      <c r="ED18" s="92">
        <f>FT18-EC18</f>
        <v>8.29176</v>
      </c>
      <c r="EE18" s="92">
        <f>FU18-EC18-ED18</f>
        <v>17.129369999999994</v>
      </c>
      <c r="EF18" s="92">
        <f>FV18-EE18-ED18-EC18</f>
        <v>11.215179999999997</v>
      </c>
      <c r="EG18" s="339">
        <v>1.7758399999999999</v>
      </c>
      <c r="EH18" s="92">
        <f>FW18-EG18</f>
        <v>25.504</v>
      </c>
      <c r="EI18" s="92"/>
      <c r="EJ18" s="9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3"/>
      <c r="FN18" s="93">
        <v>64.3</v>
      </c>
      <c r="FO18" s="93">
        <v>112.4</v>
      </c>
      <c r="FP18" s="93">
        <v>160.9</v>
      </c>
      <c r="FQ18" s="93">
        <v>45.53061000000001</v>
      </c>
      <c r="FR18" s="93">
        <v>63.42111</v>
      </c>
      <c r="FS18" s="93">
        <v>112.1</v>
      </c>
      <c r="FT18" s="93">
        <v>17.62704</v>
      </c>
      <c r="FU18" s="93">
        <v>34.756409999999995</v>
      </c>
      <c r="FV18" s="93">
        <v>45.97158999999999</v>
      </c>
      <c r="FW18" s="93">
        <v>27.27984</v>
      </c>
      <c r="FX18" s="93"/>
      <c r="FY18" s="93"/>
      <c r="FZ18" s="449"/>
      <c r="GA18" s="62"/>
      <c r="GB18" s="62"/>
    </row>
    <row r="19" spans="1:184" ht="15" hidden="1" outlineLevel="1">
      <c r="A19" s="99" t="s">
        <v>104</v>
      </c>
      <c r="B19" s="100" t="s">
        <v>93</v>
      </c>
      <c r="C19" s="257">
        <v>367.30364</v>
      </c>
      <c r="D19" s="257">
        <v>349.08161000000007</v>
      </c>
      <c r="E19" s="257">
        <v>356.04517999999985</v>
      </c>
      <c r="F19" s="258">
        <v>352.33077000000003</v>
      </c>
      <c r="G19" s="256">
        <v>366.4</v>
      </c>
      <c r="H19" s="257">
        <v>377.2558600000001</v>
      </c>
      <c r="I19" s="257">
        <f aca="true" t="shared" si="8" ref="I19:Z19">I125+I172+I221</f>
        <v>326.6441400000001</v>
      </c>
      <c r="J19" s="258">
        <f t="shared" si="8"/>
        <v>395.21375999999987</v>
      </c>
      <c r="K19" s="256">
        <f t="shared" si="8"/>
        <v>409.76399999999995</v>
      </c>
      <c r="L19" s="257">
        <f t="shared" si="8"/>
        <v>382.65871000000004</v>
      </c>
      <c r="M19" s="257">
        <f t="shared" si="8"/>
        <v>370.9304800000001</v>
      </c>
      <c r="N19" s="258">
        <f t="shared" si="8"/>
        <v>410.24680999999987</v>
      </c>
      <c r="O19" s="256">
        <f t="shared" si="8"/>
        <v>438.98868</v>
      </c>
      <c r="P19" s="257">
        <f t="shared" si="8"/>
        <v>430.54358</v>
      </c>
      <c r="Q19" s="257">
        <f t="shared" si="8"/>
        <v>353.52361999999994</v>
      </c>
      <c r="R19" s="257">
        <f t="shared" si="8"/>
        <v>407.6825</v>
      </c>
      <c r="S19" s="256">
        <f t="shared" si="8"/>
        <v>449.9</v>
      </c>
      <c r="T19" s="257">
        <f t="shared" si="8"/>
        <v>423.897</v>
      </c>
      <c r="U19" s="257">
        <f t="shared" si="8"/>
        <v>439.37589</v>
      </c>
      <c r="V19" s="257">
        <f t="shared" si="8"/>
        <v>448.34934999999996</v>
      </c>
      <c r="W19" s="256">
        <f t="shared" si="8"/>
        <v>458.83316</v>
      </c>
      <c r="X19" s="257">
        <f t="shared" si="8"/>
        <v>443.96507</v>
      </c>
      <c r="Y19" s="257">
        <f t="shared" si="8"/>
        <v>425.50176999999996</v>
      </c>
      <c r="Z19" s="257">
        <f t="shared" si="8"/>
        <v>378.4000000000001</v>
      </c>
      <c r="AA19" s="256">
        <f aca="true" t="shared" si="9" ref="AA19:AF19">AA125+CJ125+AA172+CJ172+AA221</f>
        <v>444.52801</v>
      </c>
      <c r="AB19" s="257">
        <f t="shared" si="9"/>
        <v>400.66763999999995</v>
      </c>
      <c r="AC19" s="257">
        <f t="shared" si="9"/>
        <v>409.42037000000016</v>
      </c>
      <c r="AD19" s="257">
        <f t="shared" si="9"/>
        <v>477.9324629999998</v>
      </c>
      <c r="AE19" s="256">
        <f t="shared" si="9"/>
        <v>463.7759</v>
      </c>
      <c r="AF19" s="257">
        <f t="shared" si="9"/>
        <v>457.9177</v>
      </c>
      <c r="AG19" s="257"/>
      <c r="AH19" s="257"/>
      <c r="AI19" s="450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04"/>
      <c r="BM19" s="104"/>
      <c r="BN19" s="104"/>
      <c r="BO19" s="105"/>
      <c r="BP19" s="106"/>
      <c r="BQ19" s="107"/>
      <c r="BR19" s="107"/>
      <c r="BS19" s="108"/>
      <c r="BT19" s="106"/>
      <c r="BU19" s="107"/>
      <c r="BV19" s="107"/>
      <c r="BW19" s="108"/>
      <c r="BX19" s="106"/>
      <c r="BY19" s="107"/>
      <c r="BZ19" s="107"/>
      <c r="CA19" s="107"/>
      <c r="CB19" s="106"/>
      <c r="CC19" s="107"/>
      <c r="CD19" s="107"/>
      <c r="CE19" s="107"/>
      <c r="CF19" s="106"/>
      <c r="CG19" s="107"/>
      <c r="CH19" s="107"/>
      <c r="CI19" s="107"/>
      <c r="CJ19" s="106"/>
      <c r="CK19" s="107"/>
      <c r="CL19" s="107"/>
      <c r="CM19" s="405"/>
      <c r="CN19" s="106"/>
      <c r="CO19" s="107"/>
      <c r="CP19" s="107"/>
      <c r="CQ19" s="107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91"/>
      <c r="DU19" s="109"/>
      <c r="DV19" s="109"/>
      <c r="DW19" s="109"/>
      <c r="DX19" s="340"/>
      <c r="DY19" s="341"/>
      <c r="DZ19" s="109"/>
      <c r="EA19" s="109"/>
      <c r="EB19" s="340"/>
      <c r="EC19" s="341"/>
      <c r="ED19" s="109"/>
      <c r="EE19" s="109"/>
      <c r="EF19" s="109"/>
      <c r="EG19" s="341"/>
      <c r="EH19" s="109"/>
      <c r="EI19" s="109"/>
      <c r="EJ19" s="109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451"/>
      <c r="GA19" s="63"/>
      <c r="GB19" s="63"/>
    </row>
    <row r="20" spans="1:184" ht="15.75" hidden="1" outlineLevel="1">
      <c r="A20" s="70" t="s">
        <v>205</v>
      </c>
      <c r="B20" s="70" t="s">
        <v>57</v>
      </c>
      <c r="C20" s="254">
        <v>630.7961399999999</v>
      </c>
      <c r="D20" s="254">
        <v>512.9191000000001</v>
      </c>
      <c r="E20" s="254">
        <v>533.9145099999998</v>
      </c>
      <c r="F20" s="255">
        <v>524.6204449999998</v>
      </c>
      <c r="G20" s="253">
        <v>571.1</v>
      </c>
      <c r="H20" s="254">
        <v>562.94287</v>
      </c>
      <c r="I20" s="254">
        <f aca="true" t="shared" si="10" ref="I20:N20">I22+I24+I26</f>
        <v>496.45713</v>
      </c>
      <c r="J20" s="255">
        <f t="shared" si="10"/>
        <v>629.7</v>
      </c>
      <c r="K20" s="253">
        <f>K22+K24+K26</f>
        <v>635.87</v>
      </c>
      <c r="L20" s="254">
        <f t="shared" si="10"/>
        <v>603.9967650000001</v>
      </c>
      <c r="M20" s="254">
        <f t="shared" si="10"/>
        <v>560.0062350000001</v>
      </c>
      <c r="N20" s="255">
        <f t="shared" si="10"/>
        <v>620.227</v>
      </c>
      <c r="O20" s="253">
        <f aca="true" t="shared" si="11" ref="O20:V20">O22+O24+O26</f>
        <v>688.2191899999999</v>
      </c>
      <c r="P20" s="254">
        <f t="shared" si="11"/>
        <v>738.9426000000001</v>
      </c>
      <c r="Q20" s="254">
        <f t="shared" si="11"/>
        <v>565.7333249999999</v>
      </c>
      <c r="R20" s="254">
        <f t="shared" si="11"/>
        <v>690.26926</v>
      </c>
      <c r="S20" s="253">
        <f t="shared" si="11"/>
        <v>752.6</v>
      </c>
      <c r="T20" s="254">
        <f t="shared" si="11"/>
        <v>710.6</v>
      </c>
      <c r="U20" s="254">
        <f t="shared" si="11"/>
        <v>766.70683</v>
      </c>
      <c r="V20" s="254">
        <f t="shared" si="11"/>
        <v>766.0158100000001</v>
      </c>
      <c r="W20" s="253">
        <f aca="true" t="shared" si="12" ref="W20:AB20">W22+W24+W26</f>
        <v>803.4875499999999</v>
      </c>
      <c r="X20" s="254">
        <f t="shared" si="12"/>
        <v>797.155475</v>
      </c>
      <c r="Y20" s="254">
        <f t="shared" si="12"/>
        <v>759.8569749999999</v>
      </c>
      <c r="Z20" s="254">
        <f t="shared" si="12"/>
        <v>656.3000000000002</v>
      </c>
      <c r="AA20" s="253">
        <f t="shared" si="12"/>
        <v>795.183765</v>
      </c>
      <c r="AB20" s="254">
        <f t="shared" si="12"/>
        <v>672.32152</v>
      </c>
      <c r="AC20" s="254">
        <f>AC22+AC24+AC26</f>
        <v>710.819465</v>
      </c>
      <c r="AD20" s="254">
        <f>AD22+AD24+AD26</f>
        <v>782.4297759999997</v>
      </c>
      <c r="AE20" s="253">
        <f>AE22+AE24+AE26</f>
        <v>851.971325</v>
      </c>
      <c r="AF20" s="254">
        <f>AF22+AF24+AF26</f>
        <v>889.791785</v>
      </c>
      <c r="AG20" s="254"/>
      <c r="AH20" s="254"/>
      <c r="AI20" s="449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86">
        <v>569.08859</v>
      </c>
      <c r="BM20" s="86">
        <v>490.88946</v>
      </c>
      <c r="BN20" s="86">
        <v>469.4322540000003</v>
      </c>
      <c r="BO20" s="87">
        <v>437.67747799999984</v>
      </c>
      <c r="BP20" s="88">
        <v>474.1</v>
      </c>
      <c r="BQ20" s="89">
        <v>514.86593</v>
      </c>
      <c r="BR20" s="89">
        <f aca="true" t="shared" si="13" ref="BR20:BW20">BR22+BR24+BR26</f>
        <v>424.83407000000005</v>
      </c>
      <c r="BS20" s="90">
        <f t="shared" si="13"/>
        <v>510.29999999999995</v>
      </c>
      <c r="BT20" s="88">
        <f t="shared" si="13"/>
        <v>543.0999999999999</v>
      </c>
      <c r="BU20" s="89">
        <f t="shared" si="13"/>
        <v>537.835399</v>
      </c>
      <c r="BV20" s="89">
        <f t="shared" si="13"/>
        <v>483.7646010000001</v>
      </c>
      <c r="BW20" s="90">
        <f t="shared" si="13"/>
        <v>501.04774999999995</v>
      </c>
      <c r="BX20" s="88">
        <f aca="true" t="shared" si="14" ref="BX20:CE20">BX22+BX24+BX26</f>
        <v>596.8</v>
      </c>
      <c r="BY20" s="89">
        <f t="shared" si="14"/>
        <v>626.563</v>
      </c>
      <c r="BZ20" s="89">
        <f t="shared" si="14"/>
        <v>473.1370000000001</v>
      </c>
      <c r="CA20" s="89">
        <f t="shared" si="14"/>
        <v>552.2096300000001</v>
      </c>
      <c r="CB20" s="88">
        <f t="shared" si="14"/>
        <v>627.1</v>
      </c>
      <c r="CC20" s="89">
        <f>CC22+CC24+CC26</f>
        <v>615.6999999999999</v>
      </c>
      <c r="CD20" s="89">
        <f>CD22+CD24+CD26</f>
        <v>643.6988300000002</v>
      </c>
      <c r="CE20" s="89">
        <f t="shared" si="14"/>
        <v>654.0734199999999</v>
      </c>
      <c r="CF20" s="88">
        <f aca="true" t="shared" si="15" ref="CF20:CK20">CF22+CF24+CF26</f>
        <v>659.2286799999999</v>
      </c>
      <c r="CG20" s="89">
        <f t="shared" si="15"/>
        <v>668.1383599999999</v>
      </c>
      <c r="CH20" s="89">
        <f t="shared" si="15"/>
        <v>647.1329600000001</v>
      </c>
      <c r="CI20" s="89">
        <f t="shared" si="15"/>
        <v>518.1999999999999</v>
      </c>
      <c r="CJ20" s="88">
        <f t="shared" si="15"/>
        <v>663.61756</v>
      </c>
      <c r="CK20" s="89">
        <f t="shared" si="15"/>
        <v>558.1309499999999</v>
      </c>
      <c r="CL20" s="89">
        <f>CL22+CL24+CL26</f>
        <v>604.09229</v>
      </c>
      <c r="CM20" s="404">
        <f>CM22+CM24+CM26</f>
        <v>652.6062499999998</v>
      </c>
      <c r="CN20" s="88">
        <f>CN22+CN24+CN26</f>
        <v>691.1075099999999</v>
      </c>
      <c r="CO20" s="89">
        <f>CO22+CO24+CO26</f>
        <v>726.11082</v>
      </c>
      <c r="CP20" s="89"/>
      <c r="CQ20" s="89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91"/>
      <c r="DU20" s="92">
        <f aca="true" t="shared" si="16" ref="DU20:EH20">DU22+DU24+DU26</f>
        <v>565.7</v>
      </c>
      <c r="DV20" s="92">
        <f t="shared" si="16"/>
        <v>557</v>
      </c>
      <c r="DW20" s="92">
        <f t="shared" si="16"/>
        <v>703.5</v>
      </c>
      <c r="DX20" s="338">
        <f t="shared" si="16"/>
        <v>608.0000000000001</v>
      </c>
      <c r="DY20" s="339">
        <f t="shared" si="16"/>
        <v>618.18164</v>
      </c>
      <c r="DZ20" s="92">
        <f t="shared" si="16"/>
        <v>685.923796</v>
      </c>
      <c r="EA20" s="92">
        <f t="shared" si="16"/>
        <v>678.7737136</v>
      </c>
      <c r="EB20" s="338">
        <f>EB22+EB24+EB26</f>
        <v>528.6208503999999</v>
      </c>
      <c r="EC20" s="339">
        <f t="shared" si="16"/>
        <v>578.472675</v>
      </c>
      <c r="ED20" s="92">
        <f t="shared" si="16"/>
        <v>652.0592059999999</v>
      </c>
      <c r="EE20" s="92">
        <f t="shared" si="16"/>
        <v>609.2825700000003</v>
      </c>
      <c r="EF20" s="92">
        <f t="shared" si="16"/>
        <v>706.7383699999998</v>
      </c>
      <c r="EG20" s="339">
        <f>EG22+EG24+EG26</f>
        <v>667.2640288</v>
      </c>
      <c r="EH20" s="92">
        <f t="shared" si="16"/>
        <v>683.6999783000001</v>
      </c>
      <c r="EI20" s="92"/>
      <c r="EJ20" s="9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3"/>
      <c r="FN20" s="93">
        <f aca="true" t="shared" si="17" ref="FN20:FU20">FN22+FN24+FN26</f>
        <v>1122.7</v>
      </c>
      <c r="FO20" s="93">
        <f t="shared" si="17"/>
        <v>1826.2</v>
      </c>
      <c r="FP20" s="93">
        <f t="shared" si="17"/>
        <v>2443</v>
      </c>
      <c r="FQ20" s="93">
        <f t="shared" si="17"/>
        <v>1304.105436</v>
      </c>
      <c r="FR20" s="93">
        <f t="shared" si="17"/>
        <v>1982.8791496</v>
      </c>
      <c r="FS20" s="93">
        <f t="shared" si="17"/>
        <v>2511.5</v>
      </c>
      <c r="FT20" s="93">
        <f t="shared" si="17"/>
        <v>1230.5318809999999</v>
      </c>
      <c r="FU20" s="93">
        <f t="shared" si="17"/>
        <v>1839.8144510000002</v>
      </c>
      <c r="FV20" s="93">
        <f>FV22+FV24+FV26</f>
        <v>2546.552821</v>
      </c>
      <c r="FW20" s="93">
        <f>FW22+FW24+FW26</f>
        <v>1350.9640071000001</v>
      </c>
      <c r="FX20" s="93"/>
      <c r="FY20" s="93"/>
      <c r="FZ20" s="449"/>
      <c r="GA20" s="62"/>
      <c r="GB20" s="62"/>
    </row>
    <row r="21" spans="1:184" ht="15" hidden="1" outlineLevel="1">
      <c r="A21" s="99" t="s">
        <v>104</v>
      </c>
      <c r="B21" s="100" t="s">
        <v>93</v>
      </c>
      <c r="C21" s="257">
        <v>73.80619999999999</v>
      </c>
      <c r="D21" s="257">
        <v>34.76700000000001</v>
      </c>
      <c r="E21" s="257">
        <v>62.5792</v>
      </c>
      <c r="F21" s="258">
        <v>77.8492</v>
      </c>
      <c r="G21" s="256">
        <v>80.39999999999999</v>
      </c>
      <c r="H21" s="257">
        <v>59.70800000000001</v>
      </c>
      <c r="I21" s="257">
        <f aca="true" t="shared" si="18" ref="I21:N21">I23+I25</f>
        <v>65.19200000000001</v>
      </c>
      <c r="J21" s="258">
        <f t="shared" si="18"/>
        <v>107.9</v>
      </c>
      <c r="K21" s="256">
        <f t="shared" si="18"/>
        <v>95.86999999999999</v>
      </c>
      <c r="L21" s="257">
        <f t="shared" si="18"/>
        <v>78.62200000000001</v>
      </c>
      <c r="M21" s="257">
        <f t="shared" si="18"/>
        <v>76.821</v>
      </c>
      <c r="N21" s="258">
        <f t="shared" si="18"/>
        <v>106.68700000000001</v>
      </c>
      <c r="O21" s="256">
        <f aca="true" t="shared" si="19" ref="O21:V21">O23+O25</f>
        <v>101.25999999999999</v>
      </c>
      <c r="P21" s="257">
        <f t="shared" si="19"/>
        <v>100.04714000000001</v>
      </c>
      <c r="Q21" s="257">
        <f t="shared" si="19"/>
        <v>96.99786</v>
      </c>
      <c r="R21" s="257">
        <f t="shared" si="19"/>
        <v>128.0541</v>
      </c>
      <c r="S21" s="256">
        <f t="shared" si="19"/>
        <v>119.4</v>
      </c>
      <c r="T21" s="257">
        <f t="shared" si="19"/>
        <v>105.1</v>
      </c>
      <c r="U21" s="257">
        <f t="shared" si="19"/>
        <v>125.056</v>
      </c>
      <c r="V21" s="257">
        <f t="shared" si="19"/>
        <v>118.84976999999999</v>
      </c>
      <c r="W21" s="256">
        <f aca="true" t="shared" si="20" ref="W21:AB21">W23+W25</f>
        <v>140.09118</v>
      </c>
      <c r="X21" s="257">
        <f t="shared" si="20"/>
        <v>128.97117</v>
      </c>
      <c r="Y21" s="257">
        <f t="shared" si="20"/>
        <v>129.73764999999997</v>
      </c>
      <c r="Z21" s="257">
        <f t="shared" si="20"/>
        <v>137</v>
      </c>
      <c r="AA21" s="256">
        <f t="shared" si="20"/>
        <v>138.4949</v>
      </c>
      <c r="AB21" s="257">
        <f t="shared" si="20"/>
        <v>100.29501</v>
      </c>
      <c r="AC21" s="257">
        <f>AC23+AC25</f>
        <v>111.57409</v>
      </c>
      <c r="AD21" s="257">
        <f>AD23+AD25</f>
        <v>130.87870100000004</v>
      </c>
      <c r="AE21" s="256">
        <f>AE23+AE25</f>
        <v>134.6214</v>
      </c>
      <c r="AF21" s="257">
        <f>AF23+AF25</f>
        <v>186.66262000000003</v>
      </c>
      <c r="AG21" s="257"/>
      <c r="AH21" s="257"/>
      <c r="AI21" s="450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11"/>
      <c r="BM21" s="111"/>
      <c r="BN21" s="111"/>
      <c r="BO21" s="112"/>
      <c r="BP21" s="113"/>
      <c r="BQ21" s="114"/>
      <c r="BR21" s="114"/>
      <c r="BS21" s="115"/>
      <c r="BT21" s="113"/>
      <c r="BU21" s="114"/>
      <c r="BV21" s="114"/>
      <c r="BW21" s="115"/>
      <c r="BX21" s="113"/>
      <c r="BY21" s="114"/>
      <c r="BZ21" s="114"/>
      <c r="CA21" s="114"/>
      <c r="CB21" s="113"/>
      <c r="CC21" s="114"/>
      <c r="CD21" s="114"/>
      <c r="CE21" s="114"/>
      <c r="CF21" s="113"/>
      <c r="CG21" s="114"/>
      <c r="CH21" s="114"/>
      <c r="CI21" s="114"/>
      <c r="CJ21" s="113"/>
      <c r="CK21" s="114"/>
      <c r="CL21" s="114"/>
      <c r="CM21" s="406"/>
      <c r="CN21" s="113"/>
      <c r="CO21" s="114"/>
      <c r="CP21" s="114"/>
      <c r="CQ21" s="114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91"/>
      <c r="DU21" s="109"/>
      <c r="DV21" s="109"/>
      <c r="DW21" s="109"/>
      <c r="DX21" s="340"/>
      <c r="DY21" s="341"/>
      <c r="DZ21" s="109"/>
      <c r="EA21" s="109"/>
      <c r="EB21" s="340"/>
      <c r="EC21" s="341"/>
      <c r="ED21" s="109"/>
      <c r="EE21" s="109"/>
      <c r="EF21" s="109"/>
      <c r="EG21" s="341"/>
      <c r="EH21" s="109"/>
      <c r="EI21" s="109"/>
      <c r="EJ21" s="109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451"/>
      <c r="GA21" s="63"/>
      <c r="GB21" s="63"/>
    </row>
    <row r="22" spans="1:184" ht="15" hidden="1" outlineLevel="1">
      <c r="A22" s="116" t="s">
        <v>122</v>
      </c>
      <c r="B22" s="117" t="s">
        <v>60</v>
      </c>
      <c r="C22" s="252">
        <v>419.77973999999995</v>
      </c>
      <c r="D22" s="252">
        <v>363.85350000000005</v>
      </c>
      <c r="E22" s="252">
        <v>358.0369099999999</v>
      </c>
      <c r="F22" s="260">
        <v>292.943945</v>
      </c>
      <c r="G22" s="259">
        <v>332</v>
      </c>
      <c r="H22" s="252">
        <v>354.69907</v>
      </c>
      <c r="I22" s="252">
        <f aca="true" t="shared" si="21" ref="I22:AF22">I128+I175+I224</f>
        <v>269.80093</v>
      </c>
      <c r="J22" s="260">
        <f t="shared" si="21"/>
        <v>341.00000000000006</v>
      </c>
      <c r="K22" s="259">
        <f t="shared" si="21"/>
        <v>397.5</v>
      </c>
      <c r="L22" s="252">
        <f t="shared" si="21"/>
        <v>355.89596500000005</v>
      </c>
      <c r="M22" s="252">
        <f t="shared" si="21"/>
        <v>321.80403500000006</v>
      </c>
      <c r="N22" s="260">
        <f t="shared" si="21"/>
        <v>337.09999999999997</v>
      </c>
      <c r="O22" s="259">
        <f t="shared" si="21"/>
        <v>419.05249</v>
      </c>
      <c r="P22" s="252">
        <f t="shared" si="21"/>
        <v>419.25340000000006</v>
      </c>
      <c r="Q22" s="252">
        <f t="shared" si="21"/>
        <v>216.2801249999999</v>
      </c>
      <c r="R22" s="252">
        <f t="shared" si="21"/>
        <v>368.45448000000005</v>
      </c>
      <c r="S22" s="259">
        <f t="shared" si="21"/>
        <v>413.1</v>
      </c>
      <c r="T22" s="252">
        <f t="shared" si="21"/>
        <v>353</v>
      </c>
      <c r="U22" s="252">
        <f t="shared" si="21"/>
        <v>368.8824299999999</v>
      </c>
      <c r="V22" s="252">
        <f t="shared" si="21"/>
        <v>398.24021000000016</v>
      </c>
      <c r="W22" s="259">
        <f t="shared" si="21"/>
        <v>401.96355</v>
      </c>
      <c r="X22" s="252">
        <f t="shared" si="21"/>
        <v>391.40667500000006</v>
      </c>
      <c r="Y22" s="252">
        <f t="shared" si="21"/>
        <v>342.3297749999999</v>
      </c>
      <c r="Z22" s="252">
        <f t="shared" si="21"/>
        <v>298.70000000000016</v>
      </c>
      <c r="AA22" s="259">
        <f t="shared" si="21"/>
        <v>416.837265</v>
      </c>
      <c r="AB22" s="252">
        <f t="shared" si="21"/>
        <v>346.60582</v>
      </c>
      <c r="AC22" s="252">
        <f t="shared" si="21"/>
        <v>346.03186500000004</v>
      </c>
      <c r="AD22" s="252">
        <f t="shared" si="21"/>
        <v>406.5953759999999</v>
      </c>
      <c r="AE22" s="259">
        <f t="shared" si="21"/>
        <v>448.241455</v>
      </c>
      <c r="AF22" s="252">
        <f t="shared" si="21"/>
        <v>411.136745</v>
      </c>
      <c r="AG22" s="252"/>
      <c r="AH22" s="252"/>
      <c r="AI22" s="451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121">
        <v>412.92819</v>
      </c>
      <c r="BM22" s="121">
        <v>368.14606000000003</v>
      </c>
      <c r="BN22" s="121">
        <v>344.97895400000004</v>
      </c>
      <c r="BO22" s="122">
        <v>271.32932000000005</v>
      </c>
      <c r="BP22" s="123">
        <v>294.8</v>
      </c>
      <c r="BQ22" s="124">
        <v>351.96995</v>
      </c>
      <c r="BR22" s="124">
        <f aca="true" t="shared" si="22" ref="BR22:CO22">BR128+BR175+BR224</f>
        <v>261.63005000000004</v>
      </c>
      <c r="BS22" s="125">
        <f t="shared" si="22"/>
        <v>302.2</v>
      </c>
      <c r="BT22" s="123">
        <f t="shared" si="22"/>
        <v>381.4</v>
      </c>
      <c r="BU22" s="124">
        <f t="shared" si="22"/>
        <v>348.3</v>
      </c>
      <c r="BV22" s="124">
        <f t="shared" si="22"/>
        <v>306.90000000000003</v>
      </c>
      <c r="BW22" s="125">
        <f t="shared" si="22"/>
        <v>300.04775</v>
      </c>
      <c r="BX22" s="123">
        <f t="shared" si="22"/>
        <v>399.2</v>
      </c>
      <c r="BY22" s="124">
        <f t="shared" si="22"/>
        <v>396.7</v>
      </c>
      <c r="BZ22" s="124">
        <f t="shared" si="22"/>
        <v>217.70000000000005</v>
      </c>
      <c r="CA22" s="124">
        <f t="shared" si="22"/>
        <v>309.98679000000004</v>
      </c>
      <c r="CB22" s="123">
        <f t="shared" si="22"/>
        <v>368.20000000000005</v>
      </c>
      <c r="CC22" s="124">
        <f t="shared" si="22"/>
        <v>355.29999999999995</v>
      </c>
      <c r="CD22" s="124">
        <f t="shared" si="22"/>
        <v>341.4042400000001</v>
      </c>
      <c r="CE22" s="124">
        <f t="shared" si="22"/>
        <v>380.3680099999999</v>
      </c>
      <c r="CF22" s="123">
        <f t="shared" si="22"/>
        <v>352.29888</v>
      </c>
      <c r="CG22" s="124">
        <f t="shared" si="22"/>
        <v>370.35301</v>
      </c>
      <c r="CH22" s="124">
        <f t="shared" si="22"/>
        <v>343.8481100000001</v>
      </c>
      <c r="CI22" s="124">
        <f t="shared" si="22"/>
        <v>252.40000000000003</v>
      </c>
      <c r="CJ22" s="123">
        <f t="shared" si="22"/>
        <v>377.78782</v>
      </c>
      <c r="CK22" s="124">
        <f t="shared" si="22"/>
        <v>336.93573000000004</v>
      </c>
      <c r="CL22" s="124">
        <f t="shared" si="22"/>
        <v>328.02535</v>
      </c>
      <c r="CM22" s="407">
        <f t="shared" si="22"/>
        <v>386.95265000000006</v>
      </c>
      <c r="CN22" s="123">
        <f t="shared" si="22"/>
        <v>398.84103</v>
      </c>
      <c r="CO22" s="124">
        <f t="shared" si="22"/>
        <v>370.16773000000006</v>
      </c>
      <c r="CP22" s="124"/>
      <c r="CQ22" s="124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91"/>
      <c r="DU22" s="109">
        <v>348.6</v>
      </c>
      <c r="DV22" s="109">
        <v>295.79999999999995</v>
      </c>
      <c r="DW22" s="109">
        <v>356.80000000000007</v>
      </c>
      <c r="DX22" s="340">
        <v>384.20000000000005</v>
      </c>
      <c r="DY22" s="341">
        <v>321.8088</v>
      </c>
      <c r="DZ22" s="109">
        <f>FQ22-DY22</f>
        <v>363.53618000000006</v>
      </c>
      <c r="EA22" s="109">
        <f>FR22-FQ22</f>
        <v>356.1675399999999</v>
      </c>
      <c r="EB22" s="340">
        <f>FS22-FR22</f>
        <v>265.78747999999996</v>
      </c>
      <c r="EC22" s="341">
        <v>346.55075</v>
      </c>
      <c r="ED22" s="109">
        <f>FT22-EC22</f>
        <v>389.86501999999984</v>
      </c>
      <c r="EE22" s="109">
        <f>FU22-EC22-ED22</f>
        <v>330.71916000000033</v>
      </c>
      <c r="EF22" s="109">
        <f>FV22-EE22-ED22-EC22</f>
        <v>390.1284999999998</v>
      </c>
      <c r="EG22" s="341">
        <v>409.0779600000001</v>
      </c>
      <c r="EH22" s="109">
        <f>FW22-EG22</f>
        <v>323.1279800000001</v>
      </c>
      <c r="EI22" s="109"/>
      <c r="EJ22" s="109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110">
        <v>644.4</v>
      </c>
      <c r="FO22" s="110">
        <v>1001.2</v>
      </c>
      <c r="FP22" s="110">
        <v>1394.2</v>
      </c>
      <c r="FQ22" s="110">
        <v>685.3449800000001</v>
      </c>
      <c r="FR22" s="110">
        <v>1041.51252</v>
      </c>
      <c r="FS22" s="110">
        <v>1307.3</v>
      </c>
      <c r="FT22" s="110">
        <v>736.4157699999998</v>
      </c>
      <c r="FU22" s="110">
        <v>1067.1349300000002</v>
      </c>
      <c r="FV22" s="110">
        <v>1457.26343</v>
      </c>
      <c r="FW22" s="110">
        <v>732.2059400000002</v>
      </c>
      <c r="FX22" s="110"/>
      <c r="FY22" s="110"/>
      <c r="FZ22" s="451"/>
      <c r="GA22" s="63"/>
      <c r="GB22" s="63"/>
    </row>
    <row r="23" spans="1:184" ht="15" hidden="1" outlineLevel="1">
      <c r="A23" s="99" t="s">
        <v>104</v>
      </c>
      <c r="B23" s="100" t="s">
        <v>93</v>
      </c>
      <c r="C23" s="257">
        <v>25.934199999999997</v>
      </c>
      <c r="D23" s="257">
        <v>2.5080000000000027</v>
      </c>
      <c r="E23" s="257">
        <v>15.886099999999999</v>
      </c>
      <c r="F23" s="258">
        <v>18.251200000000004</v>
      </c>
      <c r="G23" s="256">
        <v>16.299999999999997</v>
      </c>
      <c r="H23" s="257">
        <v>9.774000000000004</v>
      </c>
      <c r="I23" s="257">
        <f aca="true" t="shared" si="23" ref="I23:AF23">I129+I176+I225</f>
        <v>4.925999999999998</v>
      </c>
      <c r="J23" s="258">
        <f t="shared" si="23"/>
        <v>25.6</v>
      </c>
      <c r="K23" s="256">
        <f t="shared" si="23"/>
        <v>31.5</v>
      </c>
      <c r="L23" s="257">
        <f t="shared" si="23"/>
        <v>12.05</v>
      </c>
      <c r="M23" s="257">
        <f t="shared" si="23"/>
        <v>7.449999999999999</v>
      </c>
      <c r="N23" s="258">
        <f t="shared" si="23"/>
        <v>27.1</v>
      </c>
      <c r="O23" s="256">
        <f t="shared" si="23"/>
        <v>31.179000000000002</v>
      </c>
      <c r="P23" s="257">
        <f t="shared" si="23"/>
        <v>18.32914</v>
      </c>
      <c r="Q23" s="257">
        <f t="shared" si="23"/>
        <v>6.4968599999999945</v>
      </c>
      <c r="R23" s="257">
        <f t="shared" si="23"/>
        <v>43.961000000000006</v>
      </c>
      <c r="S23" s="256">
        <f t="shared" si="23"/>
        <v>32.4</v>
      </c>
      <c r="T23" s="257">
        <f t="shared" si="23"/>
        <v>16.5</v>
      </c>
      <c r="U23" s="257">
        <f t="shared" si="23"/>
        <v>29.456000000000003</v>
      </c>
      <c r="V23" s="257">
        <f t="shared" si="23"/>
        <v>25.649770000000004</v>
      </c>
      <c r="W23" s="256">
        <f t="shared" si="23"/>
        <v>37.79618</v>
      </c>
      <c r="X23" s="257">
        <f t="shared" si="23"/>
        <v>23.705170000000003</v>
      </c>
      <c r="Y23" s="257">
        <f t="shared" si="23"/>
        <v>18.998649999999998</v>
      </c>
      <c r="Z23" s="257">
        <f t="shared" si="23"/>
        <v>38.3</v>
      </c>
      <c r="AA23" s="256">
        <f t="shared" si="23"/>
        <v>34.1629</v>
      </c>
      <c r="AB23" s="257">
        <f t="shared" si="23"/>
        <v>12.53301</v>
      </c>
      <c r="AC23" s="257">
        <f t="shared" si="23"/>
        <v>13.533090000000001</v>
      </c>
      <c r="AD23" s="257">
        <f t="shared" si="23"/>
        <v>26.408701</v>
      </c>
      <c r="AE23" s="256">
        <f t="shared" si="23"/>
        <v>30.458399999999997</v>
      </c>
      <c r="AF23" s="257">
        <f t="shared" si="23"/>
        <v>61.542620000000014</v>
      </c>
      <c r="AG23" s="257"/>
      <c r="AH23" s="257"/>
      <c r="AI23" s="450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11"/>
      <c r="BM23" s="111"/>
      <c r="BN23" s="111"/>
      <c r="BO23" s="112"/>
      <c r="BP23" s="113"/>
      <c r="BQ23" s="114"/>
      <c r="BR23" s="114"/>
      <c r="BS23" s="115"/>
      <c r="BT23" s="113"/>
      <c r="BU23" s="114"/>
      <c r="BV23" s="114"/>
      <c r="BW23" s="115"/>
      <c r="BX23" s="113"/>
      <c r="BY23" s="114"/>
      <c r="BZ23" s="114"/>
      <c r="CA23" s="114"/>
      <c r="CB23" s="113"/>
      <c r="CC23" s="114"/>
      <c r="CD23" s="114"/>
      <c r="CE23" s="114"/>
      <c r="CF23" s="113"/>
      <c r="CG23" s="114"/>
      <c r="CH23" s="114"/>
      <c r="CI23" s="114"/>
      <c r="CJ23" s="113"/>
      <c r="CK23" s="114"/>
      <c r="CL23" s="114"/>
      <c r="CM23" s="406"/>
      <c r="CN23" s="113"/>
      <c r="CO23" s="114"/>
      <c r="CP23" s="114"/>
      <c r="CQ23" s="114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91"/>
      <c r="DU23" s="109"/>
      <c r="DV23" s="109"/>
      <c r="DW23" s="109"/>
      <c r="DX23" s="340"/>
      <c r="DY23" s="341"/>
      <c r="DZ23" s="109"/>
      <c r="EA23" s="109"/>
      <c r="EB23" s="340"/>
      <c r="EC23" s="341"/>
      <c r="ED23" s="109"/>
      <c r="EE23" s="109"/>
      <c r="EF23" s="109"/>
      <c r="EG23" s="341"/>
      <c r="EH23" s="109"/>
      <c r="EI23" s="109"/>
      <c r="EJ23" s="109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451"/>
      <c r="GA23" s="63"/>
      <c r="GB23" s="63"/>
    </row>
    <row r="24" spans="1:184" ht="15" hidden="1" outlineLevel="1">
      <c r="A24" s="116" t="s">
        <v>61</v>
      </c>
      <c r="B24" s="117" t="s">
        <v>62</v>
      </c>
      <c r="C24" s="252">
        <v>123.72</v>
      </c>
      <c r="D24" s="252">
        <v>107.65</v>
      </c>
      <c r="E24" s="252">
        <v>96.90999999999997</v>
      </c>
      <c r="F24" s="260">
        <v>121.73500000000001</v>
      </c>
      <c r="G24" s="259">
        <v>109.5</v>
      </c>
      <c r="H24" s="252">
        <v>114.535</v>
      </c>
      <c r="I24" s="252">
        <f aca="true" t="shared" si="24" ref="I24:AF24">I130+I177+I226</f>
        <v>106.16499999999999</v>
      </c>
      <c r="J24" s="260">
        <f t="shared" si="24"/>
        <v>119</v>
      </c>
      <c r="K24" s="259">
        <f t="shared" si="24"/>
        <v>111.67</v>
      </c>
      <c r="L24" s="252">
        <f t="shared" si="24"/>
        <v>116.73</v>
      </c>
      <c r="M24" s="252">
        <f t="shared" si="24"/>
        <v>109.27999999999999</v>
      </c>
      <c r="N24" s="260">
        <f t="shared" si="24"/>
        <v>121.12000000000002</v>
      </c>
      <c r="O24" s="259">
        <f t="shared" si="24"/>
        <v>125.11</v>
      </c>
      <c r="P24" s="252">
        <f t="shared" si="24"/>
        <v>151.87</v>
      </c>
      <c r="Q24" s="252">
        <f t="shared" si="24"/>
        <v>155.20799999999997</v>
      </c>
      <c r="R24" s="252">
        <f t="shared" si="24"/>
        <v>139.23199999999997</v>
      </c>
      <c r="S24" s="259">
        <f t="shared" si="24"/>
        <v>152</v>
      </c>
      <c r="T24" s="252">
        <f t="shared" si="24"/>
        <v>163.5</v>
      </c>
      <c r="U24" s="252">
        <f t="shared" si="24"/>
        <v>184.411</v>
      </c>
      <c r="V24" s="252">
        <f t="shared" si="24"/>
        <v>155.78900000000004</v>
      </c>
      <c r="W24" s="259">
        <f t="shared" si="24"/>
        <v>166.5</v>
      </c>
      <c r="X24" s="252">
        <f t="shared" si="24"/>
        <v>164.47500000000002</v>
      </c>
      <c r="Y24" s="252">
        <f t="shared" si="24"/>
        <v>173.325</v>
      </c>
      <c r="Z24" s="252">
        <f t="shared" si="24"/>
        <v>141.3</v>
      </c>
      <c r="AA24" s="259">
        <f t="shared" si="24"/>
        <v>153.904</v>
      </c>
      <c r="AB24" s="252">
        <f t="shared" si="24"/>
        <v>141.95600000000002</v>
      </c>
      <c r="AC24" s="252">
        <f t="shared" si="24"/>
        <v>150.49</v>
      </c>
      <c r="AD24" s="252">
        <f t="shared" si="24"/>
        <v>138.75</v>
      </c>
      <c r="AE24" s="259">
        <f t="shared" si="24"/>
        <v>163.53147</v>
      </c>
      <c r="AF24" s="252">
        <f t="shared" si="24"/>
        <v>182.44583999999998</v>
      </c>
      <c r="AG24" s="252"/>
      <c r="AH24" s="252"/>
      <c r="AI24" s="451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121">
        <v>75.82839999999999</v>
      </c>
      <c r="BM24" s="121">
        <v>78.05539999999999</v>
      </c>
      <c r="BN24" s="121">
        <v>45.38480000000004</v>
      </c>
      <c r="BO24" s="122">
        <v>63.33965799999996</v>
      </c>
      <c r="BP24" s="123">
        <v>47.8</v>
      </c>
      <c r="BQ24" s="124">
        <v>64.57198</v>
      </c>
      <c r="BR24" s="124">
        <f aca="true" t="shared" si="25" ref="BR24:CO24">BR130+BR177+BR226</f>
        <v>44.52802000000001</v>
      </c>
      <c r="BS24" s="125">
        <f t="shared" si="25"/>
        <v>38.69999999999999</v>
      </c>
      <c r="BT24" s="123">
        <f t="shared" si="25"/>
        <v>43.7</v>
      </c>
      <c r="BU24" s="124">
        <f t="shared" si="25"/>
        <v>53.8231</v>
      </c>
      <c r="BV24" s="124">
        <f t="shared" si="25"/>
        <v>41.77689999999998</v>
      </c>
      <c r="BW24" s="125">
        <f t="shared" si="25"/>
        <v>39.20000000000002</v>
      </c>
      <c r="BX24" s="123">
        <f t="shared" si="25"/>
        <v>54.3</v>
      </c>
      <c r="BY24" s="124">
        <f t="shared" si="25"/>
        <v>67.9</v>
      </c>
      <c r="BZ24" s="124">
        <f t="shared" si="25"/>
        <v>70.10000000000001</v>
      </c>
      <c r="CA24" s="124">
        <f t="shared" si="25"/>
        <v>50.29334</v>
      </c>
      <c r="CB24" s="123">
        <f t="shared" si="25"/>
        <v>67.7</v>
      </c>
      <c r="CC24" s="124">
        <f t="shared" si="25"/>
        <v>68.2</v>
      </c>
      <c r="CD24" s="124">
        <f t="shared" si="25"/>
        <v>93.78059</v>
      </c>
      <c r="CE24" s="124">
        <f t="shared" si="25"/>
        <v>61.21940999999998</v>
      </c>
      <c r="CF24" s="123">
        <f t="shared" si="25"/>
        <v>67.642</v>
      </c>
      <c r="CG24" s="124">
        <f t="shared" si="25"/>
        <v>54.65015000000001</v>
      </c>
      <c r="CH24" s="124">
        <f t="shared" si="25"/>
        <v>65.00785000000002</v>
      </c>
      <c r="CI24" s="124">
        <f t="shared" si="25"/>
        <v>43.09999999999998</v>
      </c>
      <c r="CJ24" s="123">
        <f t="shared" si="25"/>
        <v>51.43774</v>
      </c>
      <c r="CK24" s="124">
        <f t="shared" si="25"/>
        <v>51.609620000000014</v>
      </c>
      <c r="CL24" s="124">
        <f t="shared" si="25"/>
        <v>54.436939999999986</v>
      </c>
      <c r="CM24" s="407">
        <f t="shared" si="25"/>
        <v>31.542799999999993</v>
      </c>
      <c r="CN24" s="123">
        <f t="shared" si="25"/>
        <v>59.46808</v>
      </c>
      <c r="CO24" s="124">
        <f t="shared" si="25"/>
        <v>59.20148999999999</v>
      </c>
      <c r="CP24" s="124"/>
      <c r="CQ24" s="124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91"/>
      <c r="DU24" s="109">
        <v>72.6</v>
      </c>
      <c r="DV24" s="109">
        <v>73.70000000000002</v>
      </c>
      <c r="DW24" s="109">
        <v>85.39999999999998</v>
      </c>
      <c r="DX24" s="340">
        <v>51</v>
      </c>
      <c r="DY24" s="341">
        <v>73.72765000000003</v>
      </c>
      <c r="DZ24" s="109">
        <f>FQ24-DY24</f>
        <v>62.36755000000001</v>
      </c>
      <c r="EA24" s="109">
        <f>FR24-FQ24</f>
        <v>50.609422600000016</v>
      </c>
      <c r="EB24" s="340">
        <f>FS24-FR24</f>
        <v>50.195377399999956</v>
      </c>
      <c r="EC24" s="341">
        <v>46.1697</v>
      </c>
      <c r="ED24" s="109">
        <f>FT24-EC24</f>
        <v>55.01537000000001</v>
      </c>
      <c r="EE24" s="109">
        <f>FU24-EC24-ED24</f>
        <v>54.10301000000002</v>
      </c>
      <c r="EF24" s="109">
        <f>FV24-EE24-ED24-EC24</f>
        <v>68.25919999999991</v>
      </c>
      <c r="EG24" s="341">
        <v>76.02605000000001</v>
      </c>
      <c r="EH24" s="109">
        <f>FW24-EG24</f>
        <v>72.98665000000001</v>
      </c>
      <c r="EI24" s="109"/>
      <c r="EJ24" s="109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110">
        <v>146.3</v>
      </c>
      <c r="FO24" s="110">
        <v>231.7</v>
      </c>
      <c r="FP24" s="110">
        <v>282.7</v>
      </c>
      <c r="FQ24" s="110">
        <v>136.09520000000003</v>
      </c>
      <c r="FR24" s="110">
        <v>186.70462260000005</v>
      </c>
      <c r="FS24" s="110">
        <v>236.9</v>
      </c>
      <c r="FT24" s="110">
        <v>101.18507000000001</v>
      </c>
      <c r="FU24" s="110">
        <v>155.28808000000004</v>
      </c>
      <c r="FV24" s="110">
        <v>223.54727999999994</v>
      </c>
      <c r="FW24" s="110">
        <v>149.01270000000002</v>
      </c>
      <c r="FX24" s="110"/>
      <c r="FY24" s="110"/>
      <c r="FZ24" s="451"/>
      <c r="GA24" s="63"/>
      <c r="GB24" s="63"/>
    </row>
    <row r="25" spans="1:184" ht="15" hidden="1" outlineLevel="1">
      <c r="A25" s="99" t="s">
        <v>104</v>
      </c>
      <c r="B25" s="100" t="s">
        <v>93</v>
      </c>
      <c r="C25" s="257">
        <v>47.872</v>
      </c>
      <c r="D25" s="257">
        <v>32.259</v>
      </c>
      <c r="E25" s="257">
        <v>46.6931</v>
      </c>
      <c r="F25" s="258">
        <v>59.598</v>
      </c>
      <c r="G25" s="256">
        <v>64.1</v>
      </c>
      <c r="H25" s="257">
        <v>49.93400000000001</v>
      </c>
      <c r="I25" s="257">
        <f aca="true" t="shared" si="26" ref="I25:AF25">I131+I178+I227</f>
        <v>60.266000000000005</v>
      </c>
      <c r="J25" s="258">
        <f t="shared" si="26"/>
        <v>82.30000000000001</v>
      </c>
      <c r="K25" s="256">
        <f t="shared" si="26"/>
        <v>64.36999999999999</v>
      </c>
      <c r="L25" s="257">
        <f t="shared" si="26"/>
        <v>66.57200000000002</v>
      </c>
      <c r="M25" s="257">
        <f t="shared" si="26"/>
        <v>69.371</v>
      </c>
      <c r="N25" s="258">
        <f t="shared" si="26"/>
        <v>79.587</v>
      </c>
      <c r="O25" s="256">
        <f t="shared" si="26"/>
        <v>70.08099999999999</v>
      </c>
      <c r="P25" s="257">
        <f t="shared" si="26"/>
        <v>81.71800000000002</v>
      </c>
      <c r="Q25" s="257">
        <f t="shared" si="26"/>
        <v>90.501</v>
      </c>
      <c r="R25" s="257">
        <f t="shared" si="26"/>
        <v>84.09309999999999</v>
      </c>
      <c r="S25" s="256">
        <f t="shared" si="26"/>
        <v>87</v>
      </c>
      <c r="T25" s="257">
        <f t="shared" si="26"/>
        <v>88.6</v>
      </c>
      <c r="U25" s="257">
        <f t="shared" si="26"/>
        <v>95.6</v>
      </c>
      <c r="V25" s="257">
        <f t="shared" si="26"/>
        <v>93.19999999999999</v>
      </c>
      <c r="W25" s="256">
        <f t="shared" si="26"/>
        <v>102.295</v>
      </c>
      <c r="X25" s="257">
        <f t="shared" si="26"/>
        <v>105.266</v>
      </c>
      <c r="Y25" s="257">
        <f t="shared" si="26"/>
        <v>110.73899999999999</v>
      </c>
      <c r="Z25" s="257">
        <f t="shared" si="26"/>
        <v>98.7</v>
      </c>
      <c r="AA25" s="256">
        <f t="shared" si="26"/>
        <v>104.332</v>
      </c>
      <c r="AB25" s="257">
        <f t="shared" si="26"/>
        <v>87.762</v>
      </c>
      <c r="AC25" s="257">
        <f t="shared" si="26"/>
        <v>98.041</v>
      </c>
      <c r="AD25" s="257">
        <f t="shared" si="26"/>
        <v>104.47000000000003</v>
      </c>
      <c r="AE25" s="256">
        <f t="shared" si="26"/>
        <v>104.163</v>
      </c>
      <c r="AF25" s="257">
        <f t="shared" si="26"/>
        <v>125.12000000000002</v>
      </c>
      <c r="AG25" s="257"/>
      <c r="AH25" s="257"/>
      <c r="AI25" s="450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11"/>
      <c r="BM25" s="111"/>
      <c r="BN25" s="111"/>
      <c r="BO25" s="112"/>
      <c r="BP25" s="113"/>
      <c r="BQ25" s="114"/>
      <c r="BR25" s="114"/>
      <c r="BS25" s="115"/>
      <c r="BT25" s="113"/>
      <c r="BU25" s="114"/>
      <c r="BV25" s="114"/>
      <c r="BW25" s="115"/>
      <c r="BX25" s="113"/>
      <c r="BY25" s="114"/>
      <c r="BZ25" s="114"/>
      <c r="CA25" s="114"/>
      <c r="CB25" s="113"/>
      <c r="CC25" s="114"/>
      <c r="CD25" s="114"/>
      <c r="CE25" s="114"/>
      <c r="CF25" s="113"/>
      <c r="CG25" s="114"/>
      <c r="CH25" s="114"/>
      <c r="CI25" s="114"/>
      <c r="CJ25" s="113"/>
      <c r="CK25" s="114"/>
      <c r="CL25" s="114"/>
      <c r="CM25" s="406"/>
      <c r="CN25" s="113"/>
      <c r="CO25" s="114"/>
      <c r="CP25" s="114"/>
      <c r="CQ25" s="114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91"/>
      <c r="DU25" s="109"/>
      <c r="DV25" s="109"/>
      <c r="DW25" s="109"/>
      <c r="DX25" s="340"/>
      <c r="DY25" s="341"/>
      <c r="DZ25" s="109"/>
      <c r="EA25" s="109"/>
      <c r="EB25" s="340"/>
      <c r="EC25" s="341"/>
      <c r="ED25" s="109"/>
      <c r="EE25" s="109"/>
      <c r="EF25" s="109"/>
      <c r="EG25" s="341"/>
      <c r="EH25" s="109"/>
      <c r="EI25" s="109"/>
      <c r="EJ25" s="109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451"/>
      <c r="GA25" s="63"/>
      <c r="GB25" s="63"/>
    </row>
    <row r="26" spans="1:184" ht="15" hidden="1" outlineLevel="1">
      <c r="A26" s="116" t="s">
        <v>134</v>
      </c>
      <c r="B26" s="117" t="s">
        <v>64</v>
      </c>
      <c r="C26" s="252">
        <v>87.2964</v>
      </c>
      <c r="D26" s="252">
        <v>41.41559999999998</v>
      </c>
      <c r="E26" s="252">
        <v>78.9676</v>
      </c>
      <c r="F26" s="260">
        <v>109.94150000000002</v>
      </c>
      <c r="G26" s="259">
        <v>129.6</v>
      </c>
      <c r="H26" s="252">
        <v>93.7088</v>
      </c>
      <c r="I26" s="252">
        <f aca="true" t="shared" si="27" ref="I26:AF26">I136+I179+I228</f>
        <v>120.49120000000002</v>
      </c>
      <c r="J26" s="260">
        <f t="shared" si="27"/>
        <v>169.7</v>
      </c>
      <c r="K26" s="259">
        <f t="shared" si="27"/>
        <v>126.7</v>
      </c>
      <c r="L26" s="252">
        <f t="shared" si="27"/>
        <v>131.37080000000003</v>
      </c>
      <c r="M26" s="252">
        <f t="shared" si="27"/>
        <v>128.92219999999998</v>
      </c>
      <c r="N26" s="260">
        <f t="shared" si="27"/>
        <v>162.007</v>
      </c>
      <c r="O26" s="259">
        <f t="shared" si="27"/>
        <v>144.0567</v>
      </c>
      <c r="P26" s="252">
        <f t="shared" si="27"/>
        <v>167.8192</v>
      </c>
      <c r="Q26" s="252">
        <f t="shared" si="27"/>
        <v>194.24520000000004</v>
      </c>
      <c r="R26" s="252">
        <f t="shared" si="27"/>
        <v>182.58277999999996</v>
      </c>
      <c r="S26" s="259">
        <f t="shared" si="27"/>
        <v>187.5</v>
      </c>
      <c r="T26" s="252">
        <f t="shared" si="27"/>
        <v>194.10000000000002</v>
      </c>
      <c r="U26" s="252">
        <f t="shared" si="27"/>
        <v>213.41340000000002</v>
      </c>
      <c r="V26" s="252">
        <f t="shared" si="27"/>
        <v>211.98659999999995</v>
      </c>
      <c r="W26" s="259">
        <f t="shared" si="27"/>
        <v>235.024</v>
      </c>
      <c r="X26" s="252">
        <f t="shared" si="27"/>
        <v>241.2738</v>
      </c>
      <c r="Y26" s="252">
        <f t="shared" si="27"/>
        <v>244.2022</v>
      </c>
      <c r="Z26" s="252">
        <f t="shared" si="27"/>
        <v>216.3</v>
      </c>
      <c r="AA26" s="259">
        <f t="shared" si="27"/>
        <v>224.4425</v>
      </c>
      <c r="AB26" s="252">
        <f t="shared" si="27"/>
        <v>183.7597</v>
      </c>
      <c r="AC26" s="252">
        <f t="shared" si="27"/>
        <v>214.29760000000005</v>
      </c>
      <c r="AD26" s="252">
        <f t="shared" si="27"/>
        <v>237.0843999999999</v>
      </c>
      <c r="AE26" s="259">
        <f t="shared" si="27"/>
        <v>240.1984</v>
      </c>
      <c r="AF26" s="252">
        <f t="shared" si="27"/>
        <v>296.2092</v>
      </c>
      <c r="AG26" s="252"/>
      <c r="AH26" s="252"/>
      <c r="AI26" s="451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121">
        <v>80.332</v>
      </c>
      <c r="BM26" s="121">
        <v>44.688</v>
      </c>
      <c r="BN26" s="121">
        <v>79.06850000000001</v>
      </c>
      <c r="BO26" s="122">
        <v>103.00849999999997</v>
      </c>
      <c r="BP26" s="123">
        <v>131.5</v>
      </c>
      <c r="BQ26" s="124">
        <v>98.32400000000001</v>
      </c>
      <c r="BR26" s="124">
        <f aca="true" t="shared" si="28" ref="BR26:CO26">BR136+BR179+BR228</f>
        <v>118.67599999999999</v>
      </c>
      <c r="BS26" s="125">
        <f t="shared" si="28"/>
        <v>169.39999999999998</v>
      </c>
      <c r="BT26" s="123">
        <f t="shared" si="28"/>
        <v>118</v>
      </c>
      <c r="BU26" s="124">
        <f t="shared" si="28"/>
        <v>135.712299</v>
      </c>
      <c r="BV26" s="124">
        <f t="shared" si="28"/>
        <v>135.087701</v>
      </c>
      <c r="BW26" s="125">
        <f t="shared" si="28"/>
        <v>161.79999999999995</v>
      </c>
      <c r="BX26" s="123">
        <f t="shared" si="28"/>
        <v>143.3</v>
      </c>
      <c r="BY26" s="124">
        <f t="shared" si="28"/>
        <v>161.96299999999997</v>
      </c>
      <c r="BZ26" s="124">
        <f t="shared" si="28"/>
        <v>185.33700000000005</v>
      </c>
      <c r="CA26" s="124">
        <f t="shared" si="28"/>
        <v>191.92949999999996</v>
      </c>
      <c r="CB26" s="123">
        <f t="shared" si="28"/>
        <v>191.20000000000002</v>
      </c>
      <c r="CC26" s="124">
        <f t="shared" si="28"/>
        <v>192.19999999999996</v>
      </c>
      <c r="CD26" s="124">
        <f t="shared" si="28"/>
        <v>208.51400000000004</v>
      </c>
      <c r="CE26" s="124">
        <f t="shared" si="28"/>
        <v>212.486</v>
      </c>
      <c r="CF26" s="123">
        <f t="shared" si="28"/>
        <v>239.2878</v>
      </c>
      <c r="CG26" s="124">
        <f t="shared" si="28"/>
        <v>243.1352</v>
      </c>
      <c r="CH26" s="124">
        <f t="shared" si="28"/>
        <v>238.27700000000004</v>
      </c>
      <c r="CI26" s="124">
        <f t="shared" si="28"/>
        <v>222.69999999999993</v>
      </c>
      <c r="CJ26" s="123">
        <f t="shared" si="28"/>
        <v>234.392</v>
      </c>
      <c r="CK26" s="124">
        <f t="shared" si="28"/>
        <v>169.58559999999983</v>
      </c>
      <c r="CL26" s="124">
        <f t="shared" si="28"/>
        <v>221.6300000000001</v>
      </c>
      <c r="CM26" s="407">
        <f t="shared" si="28"/>
        <v>234.1107999999998</v>
      </c>
      <c r="CN26" s="123">
        <f t="shared" si="28"/>
        <v>232.7984</v>
      </c>
      <c r="CO26" s="124">
        <f t="shared" si="28"/>
        <v>296.74159999999995</v>
      </c>
      <c r="CP26" s="124"/>
      <c r="CQ26" s="124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91"/>
      <c r="DU26" s="109">
        <v>144.5</v>
      </c>
      <c r="DV26" s="109">
        <v>187.5</v>
      </c>
      <c r="DW26" s="109">
        <v>261.29999999999995</v>
      </c>
      <c r="DX26" s="340">
        <v>172.80000000000007</v>
      </c>
      <c r="DY26" s="341">
        <v>222.64519</v>
      </c>
      <c r="DZ26" s="109">
        <f>FQ26-DY26</f>
        <v>260.020066</v>
      </c>
      <c r="EA26" s="109">
        <f>FR26-FQ26</f>
        <v>271.996751</v>
      </c>
      <c r="EB26" s="340">
        <f>FS26-FR26</f>
        <v>212.63799299999994</v>
      </c>
      <c r="EC26" s="341">
        <v>185.752225</v>
      </c>
      <c r="ED26" s="109">
        <f>FT26-EC26</f>
        <v>207.17881599999998</v>
      </c>
      <c r="EE26" s="109">
        <f>FU26-EC26-ED26</f>
        <v>224.46039999999988</v>
      </c>
      <c r="EF26" s="109">
        <f>FV26-EE26-ED26-EC26</f>
        <v>248.3506700000001</v>
      </c>
      <c r="EG26" s="341">
        <v>182.1600188</v>
      </c>
      <c r="EH26" s="109">
        <f>FW26-EG26</f>
        <v>287.58534829999996</v>
      </c>
      <c r="EI26" s="109"/>
      <c r="EJ26" s="109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110">
        <v>332</v>
      </c>
      <c r="FO26" s="110">
        <v>593.3</v>
      </c>
      <c r="FP26" s="110">
        <v>766.1</v>
      </c>
      <c r="FQ26" s="110">
        <v>482.665256</v>
      </c>
      <c r="FR26" s="110">
        <v>754.662007</v>
      </c>
      <c r="FS26" s="110">
        <v>967.3</v>
      </c>
      <c r="FT26" s="110">
        <v>392.931041</v>
      </c>
      <c r="FU26" s="110">
        <v>617.3914409999999</v>
      </c>
      <c r="FV26" s="110">
        <v>865.742111</v>
      </c>
      <c r="FW26" s="110">
        <v>469.74536709999995</v>
      </c>
      <c r="FX26" s="110"/>
      <c r="FY26" s="110"/>
      <c r="FZ26" s="451"/>
      <c r="GA26" s="63"/>
      <c r="GB26" s="63"/>
    </row>
    <row r="27" spans="1:184" ht="15.75" hidden="1" outlineLevel="1">
      <c r="A27" s="70" t="s">
        <v>204</v>
      </c>
      <c r="B27" s="70" t="s">
        <v>203</v>
      </c>
      <c r="C27" s="254">
        <v>435.4044</v>
      </c>
      <c r="D27" s="254">
        <v>530.2675999999999</v>
      </c>
      <c r="E27" s="254">
        <v>560.33388</v>
      </c>
      <c r="F27" s="255">
        <v>594.4051000000002</v>
      </c>
      <c r="G27" s="253">
        <v>591.1</v>
      </c>
      <c r="H27" s="254">
        <v>612.3090000000001</v>
      </c>
      <c r="I27" s="254">
        <f aca="true" t="shared" si="29" ref="I27:N27">I29+I32</f>
        <v>568.7909999999999</v>
      </c>
      <c r="J27" s="255">
        <f t="shared" si="29"/>
        <v>674.9</v>
      </c>
      <c r="K27" s="253">
        <f>K29+K32</f>
        <v>688.4</v>
      </c>
      <c r="L27" s="254">
        <f t="shared" si="29"/>
        <v>603.62068</v>
      </c>
      <c r="M27" s="254">
        <f t="shared" si="29"/>
        <v>657.3475099999999</v>
      </c>
      <c r="N27" s="255">
        <f t="shared" si="29"/>
        <v>657.7138100000001</v>
      </c>
      <c r="O27" s="253">
        <f aca="true" t="shared" si="30" ref="O27:V27">O29+O32</f>
        <v>735.562</v>
      </c>
      <c r="P27" s="254">
        <f t="shared" si="30"/>
        <v>603.935</v>
      </c>
      <c r="Q27" s="254">
        <f t="shared" si="30"/>
        <v>581.8100000000001</v>
      </c>
      <c r="R27" s="254">
        <f t="shared" si="30"/>
        <v>661.9849999999999</v>
      </c>
      <c r="S27" s="253">
        <f t="shared" si="30"/>
        <v>693.2</v>
      </c>
      <c r="T27" s="254">
        <f t="shared" si="30"/>
        <v>657.8000000000001</v>
      </c>
      <c r="U27" s="254">
        <f t="shared" si="30"/>
        <v>608.0259999999998</v>
      </c>
      <c r="V27" s="254">
        <f t="shared" si="30"/>
        <v>654.2982750000001</v>
      </c>
      <c r="W27" s="253">
        <f aca="true" t="shared" si="31" ref="W27:AB27">W29+W32</f>
        <v>721.2452</v>
      </c>
      <c r="X27" s="254">
        <f t="shared" si="31"/>
        <v>671.3124</v>
      </c>
      <c r="Y27" s="254">
        <f t="shared" si="31"/>
        <v>608.6424</v>
      </c>
      <c r="Z27" s="254">
        <f t="shared" si="31"/>
        <v>530</v>
      </c>
      <c r="AA27" s="253">
        <f t="shared" si="31"/>
        <v>643.7199999999999</v>
      </c>
      <c r="AB27" s="254">
        <f t="shared" si="31"/>
        <v>527.4617000000001</v>
      </c>
      <c r="AC27" s="254">
        <f>AC29+AC32</f>
        <v>675.3693</v>
      </c>
      <c r="AD27" s="254">
        <f>AD29+AD32</f>
        <v>638.1890000000001</v>
      </c>
      <c r="AE27" s="253">
        <f>AE29+AE32</f>
        <v>571.25578</v>
      </c>
      <c r="AF27" s="254">
        <f>AF29+AF32</f>
        <v>536.4769000000001</v>
      </c>
      <c r="AG27" s="254"/>
      <c r="AH27" s="254"/>
      <c r="AI27" s="449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86">
        <v>550.466005</v>
      </c>
      <c r="BM27" s="86">
        <v>521.8579560000001</v>
      </c>
      <c r="BN27" s="86">
        <v>549.9296919999997</v>
      </c>
      <c r="BO27" s="87">
        <v>593.0420760000002</v>
      </c>
      <c r="BP27" s="88">
        <v>601.3</v>
      </c>
      <c r="BQ27" s="89">
        <v>555.7266160000001</v>
      </c>
      <c r="BR27" s="89">
        <f aca="true" t="shared" si="32" ref="BR27:BW27">BR29+BR32</f>
        <v>558.973384</v>
      </c>
      <c r="BS27" s="90">
        <f t="shared" si="32"/>
        <v>628.9</v>
      </c>
      <c r="BT27" s="88">
        <f t="shared" si="32"/>
        <v>645.0999999999999</v>
      </c>
      <c r="BU27" s="89">
        <f t="shared" si="32"/>
        <v>648.9701399999999</v>
      </c>
      <c r="BV27" s="89">
        <f t="shared" si="32"/>
        <v>615.3298600000002</v>
      </c>
      <c r="BW27" s="90">
        <f t="shared" si="32"/>
        <v>657.2704039999999</v>
      </c>
      <c r="BX27" s="88">
        <f aca="true" t="shared" si="33" ref="BX27:CE27">BX29+BX32</f>
        <v>735.293</v>
      </c>
      <c r="BY27" s="89">
        <f t="shared" si="33"/>
        <v>586.51491</v>
      </c>
      <c r="BZ27" s="89">
        <f t="shared" si="33"/>
        <v>530.14709</v>
      </c>
      <c r="CA27" s="89">
        <f t="shared" si="33"/>
        <v>613.3328659999997</v>
      </c>
      <c r="CB27" s="88">
        <f t="shared" si="33"/>
        <v>687.8</v>
      </c>
      <c r="CC27" s="89">
        <f>CC29+CC32</f>
        <v>661.5874230000001</v>
      </c>
      <c r="CD27" s="89">
        <f>CD29+CD32</f>
        <v>657.4936299999999</v>
      </c>
      <c r="CE27" s="89">
        <f t="shared" si="33"/>
        <v>679.5190109999999</v>
      </c>
      <c r="CF27" s="88">
        <f aca="true" t="shared" si="34" ref="CF27:CK27">CF29+CF32</f>
        <v>667.693078</v>
      </c>
      <c r="CG27" s="89">
        <f t="shared" si="34"/>
        <v>628.102127</v>
      </c>
      <c r="CH27" s="89">
        <f t="shared" si="34"/>
        <v>616.2047950000001</v>
      </c>
      <c r="CI27" s="89">
        <f t="shared" si="34"/>
        <v>589.9999999999999</v>
      </c>
      <c r="CJ27" s="88">
        <f t="shared" si="34"/>
        <v>599.942894</v>
      </c>
      <c r="CK27" s="89">
        <f t="shared" si="34"/>
        <v>549.492784</v>
      </c>
      <c r="CL27" s="89">
        <f>CL29+CL32</f>
        <v>652.95384</v>
      </c>
      <c r="CM27" s="404">
        <f>CM29+CM32</f>
        <v>587.6037919999989</v>
      </c>
      <c r="CN27" s="88">
        <f>CN29+CN32</f>
        <v>614.8587</v>
      </c>
      <c r="CO27" s="89">
        <f>CO29+CO32</f>
        <v>548.9541389999999</v>
      </c>
      <c r="CP27" s="89"/>
      <c r="CQ27" s="89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91"/>
      <c r="DU27" s="92">
        <f aca="true" t="shared" si="35" ref="DU27:EH27">DU29+DU32</f>
        <v>589.5</v>
      </c>
      <c r="DV27" s="92">
        <f t="shared" si="35"/>
        <v>727.4000000000001</v>
      </c>
      <c r="DW27" s="92">
        <f t="shared" si="35"/>
        <v>662.3</v>
      </c>
      <c r="DX27" s="338">
        <f t="shared" si="35"/>
        <v>694.8999999999999</v>
      </c>
      <c r="DY27" s="339">
        <f t="shared" si="35"/>
        <v>691.9354800000001</v>
      </c>
      <c r="DZ27" s="92">
        <f t="shared" si="35"/>
        <v>697.228852</v>
      </c>
      <c r="EA27" s="92">
        <f t="shared" si="35"/>
        <v>556.0878100000008</v>
      </c>
      <c r="EB27" s="338">
        <f>EB29+EB32</f>
        <v>575.0478579999991</v>
      </c>
      <c r="EC27" s="339">
        <f t="shared" si="35"/>
        <v>613.934364</v>
      </c>
      <c r="ED27" s="92">
        <f t="shared" si="35"/>
        <v>535.689195</v>
      </c>
      <c r="EE27" s="92">
        <f t="shared" si="35"/>
        <v>663.453739</v>
      </c>
      <c r="EF27" s="92">
        <f t="shared" si="35"/>
        <v>493.22307199999955</v>
      </c>
      <c r="EG27" s="339">
        <f>EG29+EG32</f>
        <v>668.57036</v>
      </c>
      <c r="EH27" s="92">
        <f t="shared" si="35"/>
        <v>555.1467089999999</v>
      </c>
      <c r="EI27" s="92"/>
      <c r="EJ27" s="9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3"/>
      <c r="FN27" s="93">
        <f aca="true" t="shared" si="36" ref="FN27:FU27">FN29+FN32</f>
        <v>1316.9</v>
      </c>
      <c r="FO27" s="93">
        <f t="shared" si="36"/>
        <v>1979.2</v>
      </c>
      <c r="FP27" s="93">
        <f t="shared" si="36"/>
        <v>2648.5</v>
      </c>
      <c r="FQ27" s="93">
        <f t="shared" si="36"/>
        <v>1389.164332</v>
      </c>
      <c r="FR27" s="93">
        <f t="shared" si="36"/>
        <v>1945.252142000001</v>
      </c>
      <c r="FS27" s="93">
        <f t="shared" si="36"/>
        <v>2520.3</v>
      </c>
      <c r="FT27" s="93">
        <f t="shared" si="36"/>
        <v>1149.6235590000001</v>
      </c>
      <c r="FU27" s="93">
        <f t="shared" si="36"/>
        <v>1813.0772980000002</v>
      </c>
      <c r="FV27" s="93">
        <f>FV29+FV32</f>
        <v>2306.30037</v>
      </c>
      <c r="FW27" s="93">
        <f>FW29+FW32</f>
        <v>1223.7170689999998</v>
      </c>
      <c r="FX27" s="93"/>
      <c r="FY27" s="93"/>
      <c r="FZ27" s="449"/>
      <c r="GA27" s="62"/>
      <c r="GB27" s="62"/>
    </row>
    <row r="28" spans="1:184" s="129" customFormat="1" ht="15" hidden="1" outlineLevel="1">
      <c r="A28" s="99" t="s">
        <v>104</v>
      </c>
      <c r="B28" s="100" t="s">
        <v>93</v>
      </c>
      <c r="C28" s="257">
        <v>12.80566</v>
      </c>
      <c r="D28" s="257">
        <v>1.6466400000000014</v>
      </c>
      <c r="E28" s="257">
        <v>8.3367</v>
      </c>
      <c r="F28" s="258">
        <v>12.146900000000002</v>
      </c>
      <c r="G28" s="256">
        <v>5.5</v>
      </c>
      <c r="H28" s="257">
        <v>4.4</v>
      </c>
      <c r="I28" s="257">
        <f aca="true" t="shared" si="37" ref="I28:N28">I30</f>
        <v>3.0999999999999996</v>
      </c>
      <c r="J28" s="258">
        <f t="shared" si="37"/>
        <v>20.6</v>
      </c>
      <c r="K28" s="256">
        <f t="shared" si="37"/>
        <v>14.4</v>
      </c>
      <c r="L28" s="257">
        <f t="shared" si="37"/>
        <v>0.819999999999999</v>
      </c>
      <c r="M28" s="257">
        <f t="shared" si="37"/>
        <v>4.700000000000001</v>
      </c>
      <c r="N28" s="258">
        <f t="shared" si="37"/>
        <v>13.280000000000003</v>
      </c>
      <c r="O28" s="256">
        <f aca="true" t="shared" si="38" ref="O28:V28">O30</f>
        <v>17.15</v>
      </c>
      <c r="P28" s="257">
        <f t="shared" si="38"/>
        <v>0.9889600000000011</v>
      </c>
      <c r="Q28" s="257">
        <f t="shared" si="38"/>
        <v>3.461040000000002</v>
      </c>
      <c r="R28" s="257">
        <f t="shared" si="38"/>
        <v>13.399999999999999</v>
      </c>
      <c r="S28" s="256">
        <f t="shared" si="38"/>
        <v>10.4</v>
      </c>
      <c r="T28" s="257">
        <f t="shared" si="38"/>
        <v>6.1</v>
      </c>
      <c r="U28" s="257">
        <f t="shared" si="38"/>
        <v>8.899999999999997</v>
      </c>
      <c r="V28" s="257">
        <f t="shared" si="38"/>
        <v>13.692720000000001</v>
      </c>
      <c r="W28" s="256">
        <f aca="true" t="shared" si="39" ref="W28:AB28">W30</f>
        <v>13.34662</v>
      </c>
      <c r="X28" s="257">
        <f t="shared" si="39"/>
        <v>7.127630000000002</v>
      </c>
      <c r="Y28" s="257">
        <f t="shared" si="39"/>
        <v>1.62575</v>
      </c>
      <c r="Z28" s="257">
        <f t="shared" si="39"/>
        <v>13.799999999999992</v>
      </c>
      <c r="AA28" s="256">
        <f t="shared" si="39"/>
        <v>7.2698</v>
      </c>
      <c r="AB28" s="257">
        <f t="shared" si="39"/>
        <v>2.7203800000000005</v>
      </c>
      <c r="AC28" s="257">
        <f>AC30</f>
        <v>2.209819999999999</v>
      </c>
      <c r="AD28" s="257">
        <f>AD30</f>
        <v>11.585000000000004</v>
      </c>
      <c r="AE28" s="256">
        <f>AE30</f>
        <v>4.5816</v>
      </c>
      <c r="AF28" s="257">
        <f>AF30</f>
        <v>3.9695599999999995</v>
      </c>
      <c r="AG28" s="257"/>
      <c r="AH28" s="257"/>
      <c r="AI28" s="450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04"/>
      <c r="BM28" s="104"/>
      <c r="BN28" s="104"/>
      <c r="BO28" s="105"/>
      <c r="BP28" s="106"/>
      <c r="BQ28" s="107"/>
      <c r="BR28" s="107"/>
      <c r="BS28" s="108"/>
      <c r="BT28" s="106"/>
      <c r="BU28" s="107"/>
      <c r="BV28" s="107"/>
      <c r="BW28" s="108"/>
      <c r="BX28" s="106"/>
      <c r="BY28" s="107"/>
      <c r="BZ28" s="107"/>
      <c r="CA28" s="107"/>
      <c r="CB28" s="106"/>
      <c r="CC28" s="107"/>
      <c r="CD28" s="107"/>
      <c r="CE28" s="107"/>
      <c r="CF28" s="106"/>
      <c r="CG28" s="107"/>
      <c r="CH28" s="107"/>
      <c r="CI28" s="107"/>
      <c r="CJ28" s="106"/>
      <c r="CK28" s="107"/>
      <c r="CL28" s="107"/>
      <c r="CM28" s="405"/>
      <c r="CN28" s="106"/>
      <c r="CO28" s="107"/>
      <c r="CP28" s="107"/>
      <c r="CQ28" s="107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/>
      <c r="DS28" s="456"/>
      <c r="DT28" s="91"/>
      <c r="DU28" s="126"/>
      <c r="DV28" s="126"/>
      <c r="DW28" s="126"/>
      <c r="DX28" s="342"/>
      <c r="DY28" s="343"/>
      <c r="DZ28" s="126"/>
      <c r="EA28" s="126"/>
      <c r="EB28" s="342"/>
      <c r="EC28" s="343"/>
      <c r="ED28" s="126"/>
      <c r="EE28" s="126"/>
      <c r="EF28" s="126"/>
      <c r="EG28" s="343"/>
      <c r="EH28" s="126"/>
      <c r="EI28" s="126"/>
      <c r="EJ28" s="126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450"/>
      <c r="GA28" s="127"/>
      <c r="GB28" s="127"/>
    </row>
    <row r="29" spans="1:184" ht="15" hidden="1" outlineLevel="1">
      <c r="A29" s="116" t="s">
        <v>106</v>
      </c>
      <c r="B29" s="116" t="s">
        <v>150</v>
      </c>
      <c r="C29" s="252">
        <f aca="true" t="shared" si="40" ref="C29:AF29">C140+C182+C231</f>
        <v>402.264</v>
      </c>
      <c r="D29" s="252">
        <f t="shared" si="40"/>
        <v>525.683</v>
      </c>
      <c r="E29" s="252">
        <f t="shared" si="40"/>
        <v>538.2665000000001</v>
      </c>
      <c r="F29" s="260">
        <f t="shared" si="40"/>
        <v>564.007</v>
      </c>
      <c r="G29" s="259">
        <f t="shared" si="40"/>
        <v>577.2</v>
      </c>
      <c r="H29" s="252">
        <f t="shared" si="40"/>
        <v>599.609</v>
      </c>
      <c r="I29" s="252">
        <f t="shared" si="40"/>
        <v>561.6909999999999</v>
      </c>
      <c r="J29" s="260">
        <f t="shared" si="40"/>
        <v>627.5</v>
      </c>
      <c r="K29" s="259">
        <f t="shared" si="40"/>
        <v>646.6</v>
      </c>
      <c r="L29" s="252">
        <f t="shared" si="40"/>
        <v>600.92068</v>
      </c>
      <c r="M29" s="252">
        <f t="shared" si="40"/>
        <v>645.04751</v>
      </c>
      <c r="N29" s="260">
        <f t="shared" si="40"/>
        <v>624.01381</v>
      </c>
      <c r="O29" s="259">
        <f t="shared" si="40"/>
        <v>693.742</v>
      </c>
      <c r="P29" s="252">
        <f t="shared" si="40"/>
        <v>601.4549999999999</v>
      </c>
      <c r="Q29" s="252">
        <f t="shared" si="40"/>
        <v>571.4100000000001</v>
      </c>
      <c r="R29" s="252">
        <f t="shared" si="40"/>
        <v>628.2849999999999</v>
      </c>
      <c r="S29" s="259">
        <f t="shared" si="40"/>
        <v>666.5</v>
      </c>
      <c r="T29" s="252">
        <f t="shared" si="40"/>
        <v>640.4000000000001</v>
      </c>
      <c r="U29" s="252">
        <f t="shared" si="40"/>
        <v>585.7259999999999</v>
      </c>
      <c r="V29" s="252">
        <f t="shared" si="40"/>
        <v>621.3855000000001</v>
      </c>
      <c r="W29" s="259">
        <f t="shared" si="40"/>
        <v>688.0409999999999</v>
      </c>
      <c r="X29" s="252">
        <f t="shared" si="40"/>
        <v>652.836</v>
      </c>
      <c r="Y29" s="252">
        <f t="shared" si="40"/>
        <v>604.5229999999999</v>
      </c>
      <c r="Z29" s="252">
        <f t="shared" si="40"/>
        <v>497.6</v>
      </c>
      <c r="AA29" s="259">
        <f t="shared" si="40"/>
        <v>624.829</v>
      </c>
      <c r="AB29" s="252">
        <f t="shared" si="40"/>
        <v>520.95</v>
      </c>
      <c r="AC29" s="252">
        <f t="shared" si="40"/>
        <v>653.2719999999999</v>
      </c>
      <c r="AD29" s="252">
        <f t="shared" si="40"/>
        <v>629.2470000000001</v>
      </c>
      <c r="AE29" s="259">
        <f t="shared" si="40"/>
        <v>556.41498</v>
      </c>
      <c r="AF29" s="252">
        <f t="shared" si="40"/>
        <v>526.1210000000001</v>
      </c>
      <c r="AG29" s="252"/>
      <c r="AH29" s="252"/>
      <c r="AI29" s="451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121">
        <v>493.689705</v>
      </c>
      <c r="BM29" s="121">
        <v>478.689256</v>
      </c>
      <c r="BN29" s="121">
        <v>506.95301199999983</v>
      </c>
      <c r="BO29" s="122">
        <v>543.8209760000002</v>
      </c>
      <c r="BP29" s="123">
        <v>569.1999999999999</v>
      </c>
      <c r="BQ29" s="124">
        <v>507.0466160000002</v>
      </c>
      <c r="BR29" s="124">
        <f aca="true" t="shared" si="41" ref="BR29:CO29">BR140+BR182+BR231</f>
        <v>556.026384</v>
      </c>
      <c r="BS29" s="125">
        <f t="shared" si="41"/>
        <v>584.6</v>
      </c>
      <c r="BT29" s="123">
        <f t="shared" si="41"/>
        <v>597.8</v>
      </c>
      <c r="BU29" s="124">
        <f t="shared" si="41"/>
        <v>644.67014</v>
      </c>
      <c r="BV29" s="124">
        <f t="shared" si="41"/>
        <v>607.9298600000002</v>
      </c>
      <c r="BW29" s="125">
        <f t="shared" si="41"/>
        <v>622.7644039999999</v>
      </c>
      <c r="BX29" s="123">
        <f t="shared" si="41"/>
        <v>689.393</v>
      </c>
      <c r="BY29" s="124">
        <f t="shared" si="41"/>
        <v>584.265</v>
      </c>
      <c r="BZ29" s="124">
        <f t="shared" si="41"/>
        <v>521.397</v>
      </c>
      <c r="CA29" s="124">
        <f t="shared" si="41"/>
        <v>579.0328659999998</v>
      </c>
      <c r="CB29" s="123">
        <f t="shared" si="41"/>
        <v>659.9</v>
      </c>
      <c r="CC29" s="124">
        <f t="shared" si="41"/>
        <v>648.987423</v>
      </c>
      <c r="CD29" s="124">
        <f t="shared" si="41"/>
        <v>631.69363</v>
      </c>
      <c r="CE29" s="124">
        <f t="shared" si="41"/>
        <v>646.2190109999999</v>
      </c>
      <c r="CF29" s="123">
        <f t="shared" si="41"/>
        <v>633.585378</v>
      </c>
      <c r="CG29" s="124">
        <f t="shared" si="41"/>
        <v>609.735227</v>
      </c>
      <c r="CH29" s="124">
        <f t="shared" si="41"/>
        <v>612.0793950000001</v>
      </c>
      <c r="CI29" s="124">
        <f t="shared" si="41"/>
        <v>557.5999999999999</v>
      </c>
      <c r="CJ29" s="123">
        <f t="shared" si="41"/>
        <v>582.121394</v>
      </c>
      <c r="CK29" s="124">
        <f t="shared" si="41"/>
        <v>541.940184</v>
      </c>
      <c r="CL29" s="124">
        <f t="shared" si="41"/>
        <v>639.22794</v>
      </c>
      <c r="CM29" s="407">
        <f t="shared" si="41"/>
        <v>571.1577919999988</v>
      </c>
      <c r="CN29" s="123">
        <f t="shared" si="41"/>
        <v>601.18164</v>
      </c>
      <c r="CO29" s="124">
        <f t="shared" si="41"/>
        <v>540.240644</v>
      </c>
      <c r="CP29" s="124"/>
      <c r="CQ29" s="124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91"/>
      <c r="DU29" s="109">
        <v>560.6</v>
      </c>
      <c r="DV29" s="109">
        <v>714.8000000000001</v>
      </c>
      <c r="DW29" s="109">
        <v>634.4</v>
      </c>
      <c r="DX29" s="340">
        <v>657.5999999999999</v>
      </c>
      <c r="DY29" s="341">
        <v>657.8284800000001</v>
      </c>
      <c r="DZ29" s="109">
        <f>FQ29-DY29</f>
        <v>679.113852</v>
      </c>
      <c r="EA29" s="109">
        <f>FR29-FQ29</f>
        <v>551.7158100000008</v>
      </c>
      <c r="EB29" s="340">
        <f>FS29-FR29</f>
        <v>542.8418579999991</v>
      </c>
      <c r="EC29" s="341">
        <v>595.971364</v>
      </c>
      <c r="ED29" s="109">
        <f>FT29-EC29</f>
        <v>528.5101950000001</v>
      </c>
      <c r="EE29" s="109">
        <f>FU29-EC29-ED29</f>
        <v>649.3077390000001</v>
      </c>
      <c r="EF29" s="109">
        <f>FV29-EE29-ED29-EC29</f>
        <v>476.89607199999955</v>
      </c>
      <c r="EG29" s="341">
        <v>653.72026</v>
      </c>
      <c r="EH29" s="109">
        <f>FW29-EG29</f>
        <v>533.1758089999998</v>
      </c>
      <c r="EI29" s="109"/>
      <c r="EJ29" s="109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110">
        <v>1275.4</v>
      </c>
      <c r="FO29" s="110">
        <v>1909.8</v>
      </c>
      <c r="FP29" s="110">
        <v>2541.8</v>
      </c>
      <c r="FQ29" s="110">
        <v>1336.942332</v>
      </c>
      <c r="FR29" s="110">
        <v>1888.658142000001</v>
      </c>
      <c r="FS29" s="110">
        <v>2431.5</v>
      </c>
      <c r="FT29" s="110">
        <v>1124.481559</v>
      </c>
      <c r="FU29" s="110">
        <v>1773.7892980000001</v>
      </c>
      <c r="FV29" s="110">
        <v>2250.6853699999997</v>
      </c>
      <c r="FW29" s="110">
        <v>1186.896069</v>
      </c>
      <c r="FX29" s="110"/>
      <c r="FY29" s="110"/>
      <c r="FZ29" s="451"/>
      <c r="GA29" s="63"/>
      <c r="GB29" s="63"/>
    </row>
    <row r="30" spans="1:184" s="129" customFormat="1" ht="15" hidden="1" outlineLevel="1">
      <c r="A30" s="99" t="s">
        <v>104</v>
      </c>
      <c r="B30" s="100" t="s">
        <v>93</v>
      </c>
      <c r="C30" s="257">
        <v>12.80566</v>
      </c>
      <c r="D30" s="257">
        <v>1.6466400000000014</v>
      </c>
      <c r="E30" s="257">
        <v>8.3367</v>
      </c>
      <c r="F30" s="258">
        <v>12.146900000000002</v>
      </c>
      <c r="G30" s="256">
        <v>5.5</v>
      </c>
      <c r="H30" s="257">
        <v>4.4</v>
      </c>
      <c r="I30" s="257">
        <f aca="true" t="shared" si="42" ref="I30:AF30">I141+I183+I232</f>
        <v>3.0999999999999996</v>
      </c>
      <c r="J30" s="258">
        <f t="shared" si="42"/>
        <v>20.6</v>
      </c>
      <c r="K30" s="256">
        <f t="shared" si="42"/>
        <v>14.4</v>
      </c>
      <c r="L30" s="257">
        <f t="shared" si="42"/>
        <v>0.819999999999999</v>
      </c>
      <c r="M30" s="257">
        <f t="shared" si="42"/>
        <v>4.700000000000001</v>
      </c>
      <c r="N30" s="258">
        <f t="shared" si="42"/>
        <v>13.280000000000003</v>
      </c>
      <c r="O30" s="256">
        <f t="shared" si="42"/>
        <v>17.15</v>
      </c>
      <c r="P30" s="257">
        <f t="shared" si="42"/>
        <v>0.9889600000000011</v>
      </c>
      <c r="Q30" s="257">
        <f t="shared" si="42"/>
        <v>3.461040000000002</v>
      </c>
      <c r="R30" s="257">
        <f t="shared" si="42"/>
        <v>13.399999999999999</v>
      </c>
      <c r="S30" s="256">
        <f t="shared" si="42"/>
        <v>10.4</v>
      </c>
      <c r="T30" s="257">
        <f t="shared" si="42"/>
        <v>6.1</v>
      </c>
      <c r="U30" s="257">
        <f t="shared" si="42"/>
        <v>8.899999999999997</v>
      </c>
      <c r="V30" s="257">
        <f t="shared" si="42"/>
        <v>13.692720000000001</v>
      </c>
      <c r="W30" s="256">
        <f t="shared" si="42"/>
        <v>13.34662</v>
      </c>
      <c r="X30" s="257">
        <f t="shared" si="42"/>
        <v>7.127630000000002</v>
      </c>
      <c r="Y30" s="257">
        <f t="shared" si="42"/>
        <v>1.62575</v>
      </c>
      <c r="Z30" s="257">
        <f t="shared" si="42"/>
        <v>13.799999999999992</v>
      </c>
      <c r="AA30" s="256">
        <f t="shared" si="42"/>
        <v>7.2698</v>
      </c>
      <c r="AB30" s="257">
        <f t="shared" si="42"/>
        <v>2.7203800000000005</v>
      </c>
      <c r="AC30" s="257">
        <f t="shared" si="42"/>
        <v>2.209819999999999</v>
      </c>
      <c r="AD30" s="257">
        <f t="shared" si="42"/>
        <v>11.585000000000004</v>
      </c>
      <c r="AE30" s="256">
        <f t="shared" si="42"/>
        <v>4.5816</v>
      </c>
      <c r="AF30" s="257">
        <f t="shared" si="42"/>
        <v>3.9695599999999995</v>
      </c>
      <c r="AG30" s="257"/>
      <c r="AH30" s="257"/>
      <c r="AI30" s="450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11"/>
      <c r="BM30" s="111"/>
      <c r="BN30" s="111"/>
      <c r="BO30" s="112"/>
      <c r="BP30" s="113"/>
      <c r="BQ30" s="114"/>
      <c r="BR30" s="114"/>
      <c r="BS30" s="115"/>
      <c r="BT30" s="113"/>
      <c r="BU30" s="114"/>
      <c r="BV30" s="114"/>
      <c r="BW30" s="115"/>
      <c r="BX30" s="113"/>
      <c r="BY30" s="114"/>
      <c r="BZ30" s="114"/>
      <c r="CA30" s="114"/>
      <c r="CB30" s="113"/>
      <c r="CC30" s="114"/>
      <c r="CD30" s="114"/>
      <c r="CE30" s="114"/>
      <c r="CF30" s="113"/>
      <c r="CG30" s="114"/>
      <c r="CH30" s="114"/>
      <c r="CI30" s="114"/>
      <c r="CJ30" s="113"/>
      <c r="CK30" s="114"/>
      <c r="CL30" s="114"/>
      <c r="CM30" s="406"/>
      <c r="CN30" s="113"/>
      <c r="CO30" s="114"/>
      <c r="CP30" s="114"/>
      <c r="CQ30" s="114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91"/>
      <c r="DU30" s="126"/>
      <c r="DV30" s="126"/>
      <c r="DW30" s="126"/>
      <c r="DX30" s="342"/>
      <c r="DY30" s="343"/>
      <c r="DZ30" s="126"/>
      <c r="EA30" s="126"/>
      <c r="EB30" s="342"/>
      <c r="EC30" s="343"/>
      <c r="ED30" s="126"/>
      <c r="EE30" s="126"/>
      <c r="EF30" s="126"/>
      <c r="EG30" s="343"/>
      <c r="EH30" s="126"/>
      <c r="EI30" s="126"/>
      <c r="EJ30" s="126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450"/>
      <c r="GA30" s="127"/>
      <c r="GB30" s="127"/>
    </row>
    <row r="31" spans="1:184" ht="15" customHeight="1" hidden="1" outlineLevel="1">
      <c r="A31" s="116" t="s">
        <v>68</v>
      </c>
      <c r="B31" s="117" t="s">
        <v>69</v>
      </c>
      <c r="C31" s="252">
        <v>0</v>
      </c>
      <c r="D31" s="252">
        <v>0</v>
      </c>
      <c r="E31" s="252">
        <v>0</v>
      </c>
      <c r="F31" s="260">
        <v>0</v>
      </c>
      <c r="G31" s="259">
        <v>0</v>
      </c>
      <c r="H31" s="252">
        <v>0</v>
      </c>
      <c r="I31" s="252">
        <f aca="true" t="shared" si="43" ref="I31:AF31">I142+I184+I233</f>
        <v>0</v>
      </c>
      <c r="J31" s="260">
        <f t="shared" si="43"/>
        <v>0</v>
      </c>
      <c r="K31" s="259">
        <f t="shared" si="43"/>
        <v>0</v>
      </c>
      <c r="L31" s="252">
        <f t="shared" si="43"/>
        <v>0</v>
      </c>
      <c r="M31" s="252">
        <f t="shared" si="43"/>
        <v>0</v>
      </c>
      <c r="N31" s="260">
        <f t="shared" si="43"/>
        <v>0</v>
      </c>
      <c r="O31" s="259">
        <f t="shared" si="43"/>
        <v>0</v>
      </c>
      <c r="P31" s="252">
        <f t="shared" si="43"/>
        <v>0</v>
      </c>
      <c r="Q31" s="252">
        <f t="shared" si="43"/>
        <v>0</v>
      </c>
      <c r="R31" s="252">
        <f t="shared" si="43"/>
        <v>0</v>
      </c>
      <c r="S31" s="259">
        <f t="shared" si="43"/>
        <v>0</v>
      </c>
      <c r="T31" s="252">
        <f t="shared" si="43"/>
        <v>0</v>
      </c>
      <c r="U31" s="252">
        <f t="shared" si="43"/>
        <v>0</v>
      </c>
      <c r="V31" s="252">
        <f t="shared" si="43"/>
        <v>0</v>
      </c>
      <c r="W31" s="259">
        <f t="shared" si="43"/>
        <v>0</v>
      </c>
      <c r="X31" s="252">
        <f t="shared" si="43"/>
        <v>0</v>
      </c>
      <c r="Y31" s="252">
        <f t="shared" si="43"/>
        <v>0</v>
      </c>
      <c r="Z31" s="252">
        <f t="shared" si="43"/>
        <v>0</v>
      </c>
      <c r="AA31" s="259">
        <f t="shared" si="43"/>
        <v>0</v>
      </c>
      <c r="AB31" s="252">
        <f t="shared" si="43"/>
        <v>0</v>
      </c>
      <c r="AC31" s="252">
        <f t="shared" si="43"/>
        <v>0</v>
      </c>
      <c r="AD31" s="252">
        <f t="shared" si="43"/>
        <v>0</v>
      </c>
      <c r="AE31" s="259">
        <f t="shared" si="43"/>
        <v>0</v>
      </c>
      <c r="AF31" s="252">
        <f t="shared" si="43"/>
        <v>0</v>
      </c>
      <c r="AG31" s="252"/>
      <c r="AH31" s="252"/>
      <c r="AI31" s="451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121"/>
      <c r="BM31" s="121"/>
      <c r="BN31" s="121"/>
      <c r="BO31" s="122"/>
      <c r="BP31" s="123"/>
      <c r="BQ31" s="124">
        <v>0</v>
      </c>
      <c r="BR31" s="124">
        <f>BR142+BR184+BR233</f>
        <v>0</v>
      </c>
      <c r="BS31" s="125">
        <f>BS142+BS184+BS233</f>
        <v>0</v>
      </c>
      <c r="BT31" s="123">
        <f>BT142+BT184+BT233</f>
        <v>0</v>
      </c>
      <c r="BU31" s="124">
        <f>BU142+BU184+BU233</f>
        <v>0</v>
      </c>
      <c r="BV31" s="124"/>
      <c r="BW31" s="125"/>
      <c r="BX31" s="123"/>
      <c r="BY31" s="124"/>
      <c r="BZ31" s="124"/>
      <c r="CA31" s="124"/>
      <c r="CB31" s="123"/>
      <c r="CC31" s="124"/>
      <c r="CD31" s="124"/>
      <c r="CE31" s="124"/>
      <c r="CF31" s="123"/>
      <c r="CG31" s="124"/>
      <c r="CH31" s="124"/>
      <c r="CI31" s="124"/>
      <c r="CJ31" s="123"/>
      <c r="CK31" s="124"/>
      <c r="CL31" s="124"/>
      <c r="CM31" s="407"/>
      <c r="CN31" s="123"/>
      <c r="CO31" s="124"/>
      <c r="CP31" s="124"/>
      <c r="CQ31" s="124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91"/>
      <c r="DU31" s="109"/>
      <c r="DV31" s="109"/>
      <c r="DW31" s="109"/>
      <c r="DX31" s="340"/>
      <c r="DY31" s="341"/>
      <c r="DZ31" s="109"/>
      <c r="EA31" s="109"/>
      <c r="EB31" s="340"/>
      <c r="EC31" s="341"/>
      <c r="ED31" s="109"/>
      <c r="EE31" s="109"/>
      <c r="EF31" s="109"/>
      <c r="EG31" s="341"/>
      <c r="EH31" s="109"/>
      <c r="EI31" s="109"/>
      <c r="EJ31" s="109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451"/>
      <c r="GA31" s="63"/>
      <c r="GB31" s="63"/>
    </row>
    <row r="32" spans="1:184" ht="15" hidden="1" outlineLevel="1">
      <c r="A32" s="116" t="s">
        <v>70</v>
      </c>
      <c r="B32" s="116" t="s">
        <v>135</v>
      </c>
      <c r="C32" s="252">
        <f aca="true" t="shared" si="44" ref="C32:AF32">C143+C185</f>
        <v>33.1404</v>
      </c>
      <c r="D32" s="252">
        <f t="shared" si="44"/>
        <v>4.5846</v>
      </c>
      <c r="E32" s="252">
        <f t="shared" si="44"/>
        <v>22.067380000000004</v>
      </c>
      <c r="F32" s="260">
        <f t="shared" si="44"/>
        <v>30.3981</v>
      </c>
      <c r="G32" s="259">
        <f t="shared" si="44"/>
        <v>13.9</v>
      </c>
      <c r="H32" s="252">
        <f t="shared" si="44"/>
        <v>12.700000000000001</v>
      </c>
      <c r="I32" s="252">
        <f t="shared" si="44"/>
        <v>7.1</v>
      </c>
      <c r="J32" s="260">
        <f t="shared" si="44"/>
        <v>47.39999999999999</v>
      </c>
      <c r="K32" s="259">
        <f t="shared" si="44"/>
        <v>41.8</v>
      </c>
      <c r="L32" s="252">
        <f t="shared" si="44"/>
        <v>2.700000000000003</v>
      </c>
      <c r="M32" s="252">
        <f t="shared" si="44"/>
        <v>12.299999999999997</v>
      </c>
      <c r="N32" s="260">
        <f t="shared" si="44"/>
        <v>33.7</v>
      </c>
      <c r="O32" s="259">
        <f t="shared" si="44"/>
        <v>41.82</v>
      </c>
      <c r="P32" s="252">
        <f t="shared" si="44"/>
        <v>2.479999999999997</v>
      </c>
      <c r="Q32" s="252">
        <f t="shared" si="44"/>
        <v>10.400000000000006</v>
      </c>
      <c r="R32" s="252">
        <f t="shared" si="44"/>
        <v>33.7</v>
      </c>
      <c r="S32" s="259">
        <f t="shared" si="44"/>
        <v>26.7</v>
      </c>
      <c r="T32" s="252">
        <f t="shared" si="44"/>
        <v>17.400000000000002</v>
      </c>
      <c r="U32" s="252">
        <f t="shared" si="44"/>
        <v>22.3</v>
      </c>
      <c r="V32" s="252">
        <f t="shared" si="44"/>
        <v>32.912774999999996</v>
      </c>
      <c r="W32" s="259">
        <f t="shared" si="44"/>
        <v>33.2042</v>
      </c>
      <c r="X32" s="252">
        <f t="shared" si="44"/>
        <v>18.476399999999998</v>
      </c>
      <c r="Y32" s="252">
        <f t="shared" si="44"/>
        <v>4.119399999999999</v>
      </c>
      <c r="Z32" s="252">
        <f t="shared" si="44"/>
        <v>32.400000000000006</v>
      </c>
      <c r="AA32" s="259">
        <f t="shared" si="44"/>
        <v>18.891</v>
      </c>
      <c r="AB32" s="252">
        <f t="shared" si="44"/>
        <v>6.511700000000001</v>
      </c>
      <c r="AC32" s="252">
        <f t="shared" si="44"/>
        <v>22.097299999999997</v>
      </c>
      <c r="AD32" s="252">
        <f t="shared" si="44"/>
        <v>8.942000000000002</v>
      </c>
      <c r="AE32" s="259">
        <f t="shared" si="44"/>
        <v>14.840800000000002</v>
      </c>
      <c r="AF32" s="252">
        <f t="shared" si="44"/>
        <v>10.355900000000002</v>
      </c>
      <c r="AG32" s="252"/>
      <c r="AH32" s="252"/>
      <c r="AI32" s="451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121">
        <f aca="true" t="shared" si="45" ref="BL32:CO32">BL143+BL185</f>
        <v>30.6333</v>
      </c>
      <c r="BM32" s="121">
        <f t="shared" si="45"/>
        <v>9.801699999999999</v>
      </c>
      <c r="BN32" s="121">
        <f t="shared" si="45"/>
        <v>16.371679999999998</v>
      </c>
      <c r="BO32" s="122">
        <f t="shared" si="45"/>
        <v>35.7161</v>
      </c>
      <c r="BP32" s="123">
        <f t="shared" si="45"/>
        <v>14.2</v>
      </c>
      <c r="BQ32" s="124">
        <f t="shared" si="45"/>
        <v>12.653000000000002</v>
      </c>
      <c r="BR32" s="124">
        <f t="shared" si="45"/>
        <v>2.9469999999999987</v>
      </c>
      <c r="BS32" s="125">
        <f t="shared" si="45"/>
        <v>44.3</v>
      </c>
      <c r="BT32" s="123">
        <f t="shared" si="45"/>
        <v>47.3</v>
      </c>
      <c r="BU32" s="124">
        <f t="shared" si="45"/>
        <v>4.300000000000004</v>
      </c>
      <c r="BV32" s="124">
        <f t="shared" si="45"/>
        <v>7.399999999999999</v>
      </c>
      <c r="BW32" s="125">
        <f t="shared" si="45"/>
        <v>34.505999999999986</v>
      </c>
      <c r="BX32" s="123">
        <f t="shared" si="45"/>
        <v>45.9</v>
      </c>
      <c r="BY32" s="124">
        <f t="shared" si="45"/>
        <v>2.24991</v>
      </c>
      <c r="BZ32" s="124">
        <f t="shared" si="45"/>
        <v>8.75009</v>
      </c>
      <c r="CA32" s="124">
        <f t="shared" si="45"/>
        <v>34.300000000000004</v>
      </c>
      <c r="CB32" s="123">
        <f t="shared" si="45"/>
        <v>27.9</v>
      </c>
      <c r="CC32" s="124">
        <f t="shared" si="45"/>
        <v>12.600000000000001</v>
      </c>
      <c r="CD32" s="124">
        <f t="shared" si="45"/>
        <v>25.799999999999997</v>
      </c>
      <c r="CE32" s="124">
        <f t="shared" si="45"/>
        <v>33.3</v>
      </c>
      <c r="CF32" s="123">
        <f t="shared" si="45"/>
        <v>34.1077</v>
      </c>
      <c r="CG32" s="124">
        <f t="shared" si="45"/>
        <v>18.3669</v>
      </c>
      <c r="CH32" s="124">
        <f t="shared" si="45"/>
        <v>4.125399999999999</v>
      </c>
      <c r="CI32" s="124">
        <f t="shared" si="45"/>
        <v>32.4</v>
      </c>
      <c r="CJ32" s="123">
        <f t="shared" si="45"/>
        <v>17.8215</v>
      </c>
      <c r="CK32" s="124">
        <f t="shared" si="45"/>
        <v>7.552599999999998</v>
      </c>
      <c r="CL32" s="124">
        <f t="shared" si="45"/>
        <v>13.725900000000003</v>
      </c>
      <c r="CM32" s="407">
        <f t="shared" si="45"/>
        <v>16.446</v>
      </c>
      <c r="CN32" s="123">
        <f t="shared" si="45"/>
        <v>13.67706</v>
      </c>
      <c r="CO32" s="124">
        <f t="shared" si="45"/>
        <v>8.713494999999998</v>
      </c>
      <c r="CP32" s="124"/>
      <c r="CQ32" s="124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91"/>
      <c r="DU32" s="109">
        <v>28.9</v>
      </c>
      <c r="DV32" s="109">
        <v>12.600000000000001</v>
      </c>
      <c r="DW32" s="109">
        <v>27.900000000000006</v>
      </c>
      <c r="DX32" s="340">
        <v>37.3</v>
      </c>
      <c r="DY32" s="341">
        <v>34.107</v>
      </c>
      <c r="DZ32" s="109">
        <f>FQ32-DY32</f>
        <v>18.114999999999995</v>
      </c>
      <c r="EA32" s="109">
        <f>FR32-FQ32</f>
        <v>4.372</v>
      </c>
      <c r="EB32" s="340">
        <f>FS32-FR32</f>
        <v>32.206</v>
      </c>
      <c r="EC32" s="341">
        <v>17.963</v>
      </c>
      <c r="ED32" s="109">
        <f>FT32-EC32</f>
        <v>7.178999999999995</v>
      </c>
      <c r="EE32" s="109">
        <f>FU32-EC32-ED32</f>
        <v>14.146000000000008</v>
      </c>
      <c r="EF32" s="109">
        <f>FV32-EE32-ED32-EC32</f>
        <v>16.327000000000005</v>
      </c>
      <c r="EG32" s="341">
        <v>14.850099999999996</v>
      </c>
      <c r="EH32" s="109">
        <f>FW32-EG32</f>
        <v>21.9709</v>
      </c>
      <c r="EI32" s="109"/>
      <c r="EJ32" s="109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110">
        <v>41.5</v>
      </c>
      <c r="FO32" s="110">
        <v>69.4</v>
      </c>
      <c r="FP32" s="110">
        <v>106.7</v>
      </c>
      <c r="FQ32" s="110">
        <v>52.221999999999994</v>
      </c>
      <c r="FR32" s="110">
        <v>56.593999999999994</v>
      </c>
      <c r="FS32" s="110">
        <v>88.8</v>
      </c>
      <c r="FT32" s="110">
        <v>25.141999999999996</v>
      </c>
      <c r="FU32" s="110">
        <v>39.288000000000004</v>
      </c>
      <c r="FV32" s="110">
        <v>55.61500000000001</v>
      </c>
      <c r="FW32" s="110">
        <v>36.821</v>
      </c>
      <c r="FX32" s="110"/>
      <c r="FY32" s="110"/>
      <c r="FZ32" s="451"/>
      <c r="GA32" s="63"/>
      <c r="GB32" s="63"/>
    </row>
    <row r="33" spans="1:184" ht="15" hidden="1" outlineLevel="1">
      <c r="A33" s="116"/>
      <c r="B33" s="116"/>
      <c r="C33" s="252"/>
      <c r="D33" s="252"/>
      <c r="E33" s="252"/>
      <c r="F33" s="260"/>
      <c r="G33" s="259"/>
      <c r="H33" s="252"/>
      <c r="I33" s="252"/>
      <c r="J33" s="260"/>
      <c r="K33" s="259"/>
      <c r="L33" s="252"/>
      <c r="M33" s="252"/>
      <c r="N33" s="260"/>
      <c r="O33" s="259"/>
      <c r="P33" s="252"/>
      <c r="Q33" s="252"/>
      <c r="R33" s="252"/>
      <c r="S33" s="259"/>
      <c r="T33" s="252"/>
      <c r="U33" s="252"/>
      <c r="V33" s="252"/>
      <c r="W33" s="259"/>
      <c r="X33" s="252"/>
      <c r="Y33" s="252"/>
      <c r="Z33" s="252"/>
      <c r="AA33" s="259"/>
      <c r="AB33" s="252"/>
      <c r="AC33" s="252"/>
      <c r="AD33" s="252"/>
      <c r="AE33" s="259"/>
      <c r="AF33" s="252"/>
      <c r="AG33" s="252"/>
      <c r="AH33" s="252"/>
      <c r="AI33" s="451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121"/>
      <c r="BM33" s="121"/>
      <c r="BN33" s="121"/>
      <c r="BO33" s="122"/>
      <c r="BP33" s="123"/>
      <c r="BQ33" s="124"/>
      <c r="BR33" s="124"/>
      <c r="BS33" s="125"/>
      <c r="BT33" s="123"/>
      <c r="BU33" s="124"/>
      <c r="BV33" s="124"/>
      <c r="BW33" s="125"/>
      <c r="BX33" s="123"/>
      <c r="BY33" s="124"/>
      <c r="BZ33" s="124"/>
      <c r="CA33" s="124"/>
      <c r="CB33" s="123"/>
      <c r="CC33" s="124"/>
      <c r="CD33" s="124"/>
      <c r="CE33" s="124"/>
      <c r="CF33" s="123"/>
      <c r="CG33" s="124"/>
      <c r="CH33" s="124"/>
      <c r="CI33" s="124"/>
      <c r="CJ33" s="123"/>
      <c r="CK33" s="124"/>
      <c r="CL33" s="124"/>
      <c r="CM33" s="407"/>
      <c r="CN33" s="123"/>
      <c r="CO33" s="124"/>
      <c r="CP33" s="124"/>
      <c r="CQ33" s="124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91"/>
      <c r="DU33" s="109"/>
      <c r="DV33" s="109"/>
      <c r="DW33" s="109"/>
      <c r="DX33" s="340"/>
      <c r="DY33" s="341"/>
      <c r="DZ33" s="109"/>
      <c r="EA33" s="109"/>
      <c r="EB33" s="340"/>
      <c r="EC33" s="341"/>
      <c r="ED33" s="109"/>
      <c r="EE33" s="109"/>
      <c r="EF33" s="109"/>
      <c r="EG33" s="341"/>
      <c r="EH33" s="109"/>
      <c r="EI33" s="109"/>
      <c r="EJ33" s="109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451"/>
      <c r="GA33" s="63"/>
      <c r="GB33" s="63"/>
    </row>
    <row r="34" spans="1:184" ht="15" hidden="1" outlineLevel="1">
      <c r="A34" s="116"/>
      <c r="B34" s="116"/>
      <c r="C34" s="252"/>
      <c r="D34" s="252"/>
      <c r="E34" s="252"/>
      <c r="F34" s="260"/>
      <c r="G34" s="259"/>
      <c r="H34" s="252"/>
      <c r="I34" s="252"/>
      <c r="J34" s="260"/>
      <c r="K34" s="259"/>
      <c r="L34" s="252"/>
      <c r="M34" s="252"/>
      <c r="N34" s="260"/>
      <c r="O34" s="259"/>
      <c r="P34" s="252"/>
      <c r="Q34" s="252"/>
      <c r="R34" s="252"/>
      <c r="S34" s="259"/>
      <c r="T34" s="252"/>
      <c r="U34" s="252"/>
      <c r="V34" s="252"/>
      <c r="W34" s="259"/>
      <c r="X34" s="252"/>
      <c r="Y34" s="252"/>
      <c r="Z34" s="252"/>
      <c r="AA34" s="259"/>
      <c r="AB34" s="252"/>
      <c r="AC34" s="252"/>
      <c r="AD34" s="252"/>
      <c r="AE34" s="259"/>
      <c r="AF34" s="252"/>
      <c r="AG34" s="252"/>
      <c r="AH34" s="252"/>
      <c r="AI34" s="451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121"/>
      <c r="BM34" s="121"/>
      <c r="BN34" s="121"/>
      <c r="BO34" s="122"/>
      <c r="BP34" s="123"/>
      <c r="BQ34" s="124"/>
      <c r="BR34" s="124"/>
      <c r="BS34" s="125"/>
      <c r="BT34" s="123"/>
      <c r="BU34" s="124"/>
      <c r="BV34" s="124"/>
      <c r="BW34" s="125"/>
      <c r="BX34" s="123"/>
      <c r="BY34" s="124"/>
      <c r="BZ34" s="124"/>
      <c r="CA34" s="124"/>
      <c r="CB34" s="123"/>
      <c r="CC34" s="124"/>
      <c r="CD34" s="124"/>
      <c r="CE34" s="124"/>
      <c r="CF34" s="123"/>
      <c r="CG34" s="124"/>
      <c r="CH34" s="124"/>
      <c r="CI34" s="124"/>
      <c r="CJ34" s="123"/>
      <c r="CK34" s="124"/>
      <c r="CL34" s="124"/>
      <c r="CM34" s="407"/>
      <c r="CN34" s="123"/>
      <c r="CO34" s="124"/>
      <c r="CP34" s="124"/>
      <c r="CQ34" s="124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91"/>
      <c r="DU34" s="109"/>
      <c r="DV34" s="109"/>
      <c r="DW34" s="109"/>
      <c r="DX34" s="340"/>
      <c r="DY34" s="341"/>
      <c r="DZ34" s="109"/>
      <c r="EA34" s="109"/>
      <c r="EB34" s="340"/>
      <c r="EC34" s="341"/>
      <c r="ED34" s="109"/>
      <c r="EE34" s="109"/>
      <c r="EF34" s="109"/>
      <c r="EG34" s="341"/>
      <c r="EH34" s="109"/>
      <c r="EI34" s="109"/>
      <c r="EJ34" s="109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451"/>
      <c r="GA34" s="63"/>
      <c r="GB34" s="63"/>
    </row>
    <row r="35" spans="1:184" ht="30.75" hidden="1" outlineLevel="1">
      <c r="A35" s="70" t="s">
        <v>137</v>
      </c>
      <c r="B35" s="70" t="s">
        <v>72</v>
      </c>
      <c r="C35" s="254">
        <v>82.510594</v>
      </c>
      <c r="D35" s="254">
        <v>81.567406</v>
      </c>
      <c r="E35" s="254">
        <v>89.56947299999999</v>
      </c>
      <c r="F35" s="255">
        <v>101.71747900000003</v>
      </c>
      <c r="G35" s="253">
        <v>90.9</v>
      </c>
      <c r="H35" s="254">
        <v>85.758308</v>
      </c>
      <c r="I35" s="254">
        <f aca="true" t="shared" si="46" ref="I35:N35">I37+I39+I43</f>
        <v>85.64169199999999</v>
      </c>
      <c r="J35" s="255">
        <f t="shared" si="46"/>
        <v>108.70000000000002</v>
      </c>
      <c r="K35" s="253">
        <f>K37+K39+K43</f>
        <v>94.55189000000001</v>
      </c>
      <c r="L35" s="254">
        <f t="shared" si="46"/>
        <v>93.78983</v>
      </c>
      <c r="M35" s="254">
        <f t="shared" si="46"/>
        <v>108.86474000000001</v>
      </c>
      <c r="N35" s="255">
        <f t="shared" si="46"/>
        <v>101.41126499999996</v>
      </c>
      <c r="O35" s="253">
        <f aca="true" t="shared" si="47" ref="O35:Q36">O37+O39+O43</f>
        <v>90.40599</v>
      </c>
      <c r="P35" s="254">
        <f t="shared" si="47"/>
        <v>105.189935</v>
      </c>
      <c r="Q35" s="254">
        <f t="shared" si="47"/>
        <v>99.932981</v>
      </c>
      <c r="R35" s="254">
        <f aca="true" t="shared" si="48" ref="R35:V36">R37+R39+R43</f>
        <v>93.68044</v>
      </c>
      <c r="S35" s="253">
        <f t="shared" si="48"/>
        <v>98.30000000000001</v>
      </c>
      <c r="T35" s="254">
        <f t="shared" si="48"/>
        <v>93.156407</v>
      </c>
      <c r="U35" s="254">
        <f t="shared" si="48"/>
        <v>98.40217999999999</v>
      </c>
      <c r="V35" s="254">
        <f t="shared" si="48"/>
        <v>92.59635</v>
      </c>
      <c r="W35" s="253">
        <f aca="true" t="shared" si="49" ref="W35:Y36">W37+W39+W43</f>
        <v>89.44163</v>
      </c>
      <c r="X35" s="254">
        <f t="shared" si="49"/>
        <v>94.07136499999999</v>
      </c>
      <c r="Y35" s="254">
        <f t="shared" si="49"/>
        <v>114.187005</v>
      </c>
      <c r="Z35" s="254">
        <f aca="true" t="shared" si="50" ref="Z35:AB36">Z37+Z39+Z43</f>
        <v>103.10000000000001</v>
      </c>
      <c r="AA35" s="253">
        <f t="shared" si="50"/>
        <v>124.527267</v>
      </c>
      <c r="AB35" s="254">
        <f t="shared" si="50"/>
        <v>113.101298</v>
      </c>
      <c r="AC35" s="254">
        <f aca="true" t="shared" si="51" ref="AC35:AF36">AC37+AC39+AC43</f>
        <v>102.32509</v>
      </c>
      <c r="AD35" s="254">
        <f t="shared" si="51"/>
        <v>106.90225099999999</v>
      </c>
      <c r="AE35" s="253">
        <f t="shared" si="51"/>
        <v>85.803133</v>
      </c>
      <c r="AF35" s="254">
        <f t="shared" si="51"/>
        <v>91.38622999999998</v>
      </c>
      <c r="AG35" s="254"/>
      <c r="AH35" s="254"/>
      <c r="AI35" s="449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89">
        <f>BL37+BL39+BL43</f>
        <v>40.89558699999999</v>
      </c>
      <c r="BM35" s="89">
        <f>BM37+BM39+BM43</f>
        <v>38.93136200000001</v>
      </c>
      <c r="BN35" s="89">
        <f>BN37+BN39+BN43</f>
        <v>44.70945549999999</v>
      </c>
      <c r="BO35" s="90">
        <f>BO37+BO39+BO43</f>
        <v>51.39491050000002</v>
      </c>
      <c r="BP35" s="88">
        <f aca="true" t="shared" si="52" ref="BP35:BW35">BP37+BP39+BP43</f>
        <v>44.300000000000004</v>
      </c>
      <c r="BQ35" s="89">
        <f t="shared" si="52"/>
        <v>44.76830699999999</v>
      </c>
      <c r="BR35" s="89">
        <f t="shared" si="52"/>
        <v>40.431693</v>
      </c>
      <c r="BS35" s="90">
        <f t="shared" si="52"/>
        <v>54.799999999999976</v>
      </c>
      <c r="BT35" s="88">
        <f t="shared" si="52"/>
        <v>45.16372</v>
      </c>
      <c r="BU35" s="89">
        <f t="shared" si="52"/>
        <v>45.571526500000004</v>
      </c>
      <c r="BV35" s="89">
        <f t="shared" si="52"/>
        <v>50.66475350000001</v>
      </c>
      <c r="BW35" s="90">
        <f t="shared" si="52"/>
        <v>48.64699999999997</v>
      </c>
      <c r="BX35" s="88">
        <f aca="true" t="shared" si="53" ref="BX35:CD35">BX37+BX39+BX43</f>
        <v>42.9</v>
      </c>
      <c r="BY35" s="89">
        <f t="shared" si="53"/>
        <v>49.867586</v>
      </c>
      <c r="BZ35" s="89">
        <f t="shared" si="53"/>
        <v>48.53241399999999</v>
      </c>
      <c r="CA35" s="89">
        <f t="shared" si="53"/>
        <v>45.40040450000001</v>
      </c>
      <c r="CB35" s="88">
        <f t="shared" si="53"/>
        <v>49</v>
      </c>
      <c r="CC35" s="89">
        <f t="shared" si="53"/>
        <v>45.5</v>
      </c>
      <c r="CD35" s="89">
        <f t="shared" si="53"/>
        <v>49.0129015</v>
      </c>
      <c r="CE35" s="89">
        <f aca="true" t="shared" si="54" ref="CE35:CJ35">CE37+CE39+CE43</f>
        <v>48.91953850000001</v>
      </c>
      <c r="CF35" s="88">
        <f t="shared" si="54"/>
        <v>43.986016</v>
      </c>
      <c r="CG35" s="89">
        <f t="shared" si="54"/>
        <v>46.2300885</v>
      </c>
      <c r="CH35" s="89">
        <f t="shared" si="54"/>
        <v>55.88389549999998</v>
      </c>
      <c r="CI35" s="89">
        <f t="shared" si="54"/>
        <v>48.7</v>
      </c>
      <c r="CJ35" s="88">
        <f t="shared" si="54"/>
        <v>59.7062015</v>
      </c>
      <c r="CK35" s="89">
        <f>CK37+CK39+CK43</f>
        <v>53.000940499999906</v>
      </c>
      <c r="CL35" s="89">
        <f>CL37+CL39+CL43</f>
        <v>49.93132750000008</v>
      </c>
      <c r="CM35" s="404">
        <f>CM37+CM39+CM43</f>
        <v>51.430501000000305</v>
      </c>
      <c r="CN35" s="88">
        <f>CN37+CN39+CN43</f>
        <v>40.4945445</v>
      </c>
      <c r="CO35" s="89">
        <f>CO37+CO39+CO43</f>
        <v>43.132528</v>
      </c>
      <c r="CP35" s="89"/>
      <c r="CQ35" s="89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91"/>
      <c r="DU35" s="92">
        <f aca="true" t="shared" si="55" ref="DU35:EH35">DU37+DU39+DU43</f>
        <v>49</v>
      </c>
      <c r="DV35" s="92">
        <f t="shared" si="55"/>
        <v>45.5</v>
      </c>
      <c r="DW35" s="92">
        <f t="shared" si="55"/>
        <v>49.00000000000001</v>
      </c>
      <c r="DX35" s="338">
        <f t="shared" si="55"/>
        <v>48.98</v>
      </c>
      <c r="DY35" s="339">
        <f t="shared" si="55"/>
        <v>43.98601599999999</v>
      </c>
      <c r="DZ35" s="92">
        <f t="shared" si="55"/>
        <v>46.23008849999985</v>
      </c>
      <c r="EA35" s="92">
        <f t="shared" si="55"/>
        <v>55.952508999999544</v>
      </c>
      <c r="EB35" s="338">
        <f>EB37+EB39+EB43</f>
        <v>48.631386500000595</v>
      </c>
      <c r="EC35" s="339">
        <f t="shared" si="55"/>
        <v>59.706202500000174</v>
      </c>
      <c r="ED35" s="92">
        <f t="shared" si="55"/>
        <v>53.0009394999998</v>
      </c>
      <c r="EE35" s="92">
        <f t="shared" si="55"/>
        <v>49.931335000000274</v>
      </c>
      <c r="EF35" s="92">
        <f t="shared" si="55"/>
        <v>51.4304934999995</v>
      </c>
      <c r="EG35" s="339">
        <f>EG37+EG39+EG43</f>
        <v>40.494544499999996</v>
      </c>
      <c r="EH35" s="92">
        <f t="shared" si="55"/>
        <v>43.13252800000021</v>
      </c>
      <c r="EI35" s="92"/>
      <c r="EJ35" s="9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3"/>
      <c r="FN35" s="93">
        <f aca="true" t="shared" si="56" ref="FN35:FU35">FN37+FN39+FN43</f>
        <v>94.5</v>
      </c>
      <c r="FO35" s="93">
        <f t="shared" si="56"/>
        <v>143.5</v>
      </c>
      <c r="FP35" s="93">
        <f t="shared" si="56"/>
        <v>192.48000000000002</v>
      </c>
      <c r="FQ35" s="93">
        <f t="shared" si="56"/>
        <v>90.21610449999984</v>
      </c>
      <c r="FR35" s="93">
        <f t="shared" si="56"/>
        <v>146.1686134999994</v>
      </c>
      <c r="FS35" s="93">
        <f t="shared" si="56"/>
        <v>194.79999999999998</v>
      </c>
      <c r="FT35" s="93">
        <f t="shared" si="56"/>
        <v>112.70714199999998</v>
      </c>
      <c r="FU35" s="93">
        <f t="shared" si="56"/>
        <v>162.63847700000025</v>
      </c>
      <c r="FV35" s="93">
        <f>FV37+FV39+FV43</f>
        <v>214.06897049999975</v>
      </c>
      <c r="FW35" s="93">
        <f>FW37+FW39+FW43</f>
        <v>83.6270725000002</v>
      </c>
      <c r="FX35" s="93"/>
      <c r="FY35" s="93"/>
      <c r="FZ35" s="449"/>
      <c r="GA35" s="62"/>
      <c r="GB35" s="62"/>
    </row>
    <row r="36" spans="1:184" s="129" customFormat="1" ht="15" hidden="1" outlineLevel="1">
      <c r="A36" s="99" t="s">
        <v>104</v>
      </c>
      <c r="B36" s="100" t="s">
        <v>93</v>
      </c>
      <c r="C36" s="257">
        <v>43.388901</v>
      </c>
      <c r="D36" s="257">
        <v>43.93999200000001</v>
      </c>
      <c r="E36" s="257">
        <v>45.34657299999999</v>
      </c>
      <c r="F36" s="258">
        <v>50.610269999999986</v>
      </c>
      <c r="G36" s="256">
        <v>45.800000000000004</v>
      </c>
      <c r="H36" s="257">
        <v>41.89246099999999</v>
      </c>
      <c r="I36" s="257">
        <f>I38+I40</f>
        <v>44.455439</v>
      </c>
      <c r="J36" s="258">
        <f>J38+J40</f>
        <v>56</v>
      </c>
      <c r="K36" s="256">
        <f>K38+K40+K44</f>
        <v>49.55200000000001</v>
      </c>
      <c r="L36" s="257">
        <f>L38+L40+L44</f>
        <v>48.676958000000006</v>
      </c>
      <c r="M36" s="257">
        <f>M38+M40+M44</f>
        <v>56.550270999999974</v>
      </c>
      <c r="N36" s="258">
        <f>N38+N40+N44</f>
        <v>53.64137600000003</v>
      </c>
      <c r="O36" s="256">
        <f t="shared" si="47"/>
        <v>47.651263500000006</v>
      </c>
      <c r="P36" s="257">
        <f t="shared" si="47"/>
        <v>55.05281500000001</v>
      </c>
      <c r="Q36" s="257">
        <f t="shared" si="47"/>
        <v>46.26919599999999</v>
      </c>
      <c r="R36" s="257">
        <f t="shared" si="48"/>
        <v>53.42507199999999</v>
      </c>
      <c r="S36" s="256">
        <f t="shared" si="48"/>
        <v>49.8</v>
      </c>
      <c r="T36" s="257">
        <f t="shared" si="48"/>
        <v>47.59748200000001</v>
      </c>
      <c r="U36" s="257">
        <f t="shared" si="48"/>
        <v>49.71596750000001</v>
      </c>
      <c r="V36" s="257">
        <f t="shared" si="48"/>
        <v>29.115760499999993</v>
      </c>
      <c r="W36" s="256">
        <f t="shared" si="49"/>
        <v>44.8103025</v>
      </c>
      <c r="X36" s="257">
        <f t="shared" si="49"/>
        <v>47.851250500000006</v>
      </c>
      <c r="Y36" s="257">
        <f t="shared" si="49"/>
        <v>58.838447</v>
      </c>
      <c r="Z36" s="257">
        <f t="shared" si="50"/>
        <v>55</v>
      </c>
      <c r="AA36" s="256">
        <f t="shared" si="50"/>
        <v>64.822985</v>
      </c>
      <c r="AB36" s="257">
        <f t="shared" si="50"/>
        <v>59.006167</v>
      </c>
      <c r="AC36" s="257">
        <f t="shared" si="51"/>
        <v>53.424394000000014</v>
      </c>
      <c r="AD36" s="257">
        <f t="shared" si="51"/>
        <v>54.62723499999998</v>
      </c>
      <c r="AE36" s="256">
        <f t="shared" si="51"/>
        <v>44.674986</v>
      </c>
      <c r="AF36" s="257">
        <f t="shared" si="51"/>
        <v>48.607517</v>
      </c>
      <c r="AG36" s="257"/>
      <c r="AH36" s="257"/>
      <c r="AI36" s="450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04"/>
      <c r="BM36" s="104"/>
      <c r="BN36" s="104"/>
      <c r="BO36" s="105"/>
      <c r="BP36" s="106"/>
      <c r="BQ36" s="107"/>
      <c r="BR36" s="107"/>
      <c r="BS36" s="108"/>
      <c r="BT36" s="106"/>
      <c r="BU36" s="107"/>
      <c r="BV36" s="107"/>
      <c r="BW36" s="108"/>
      <c r="BX36" s="106"/>
      <c r="BY36" s="107"/>
      <c r="BZ36" s="107"/>
      <c r="CA36" s="107"/>
      <c r="CB36" s="106"/>
      <c r="CC36" s="107"/>
      <c r="CD36" s="107"/>
      <c r="CE36" s="107"/>
      <c r="CF36" s="106"/>
      <c r="CG36" s="107"/>
      <c r="CH36" s="107"/>
      <c r="CI36" s="107"/>
      <c r="CJ36" s="106"/>
      <c r="CK36" s="107"/>
      <c r="CL36" s="107"/>
      <c r="CM36" s="405"/>
      <c r="CN36" s="106"/>
      <c r="CO36" s="107"/>
      <c r="CP36" s="107"/>
      <c r="CQ36" s="107"/>
      <c r="CR36" s="456"/>
      <c r="CS36" s="456"/>
      <c r="CT36" s="456"/>
      <c r="CU36" s="456"/>
      <c r="CV36" s="456"/>
      <c r="CW36" s="456"/>
      <c r="CX36" s="456"/>
      <c r="CY36" s="456"/>
      <c r="CZ36" s="456"/>
      <c r="DA36" s="456"/>
      <c r="DB36" s="456"/>
      <c r="DC36" s="456"/>
      <c r="DD36" s="456"/>
      <c r="DE36" s="456"/>
      <c r="DF36" s="456"/>
      <c r="DG36" s="456"/>
      <c r="DH36" s="456"/>
      <c r="DI36" s="456"/>
      <c r="DJ36" s="456"/>
      <c r="DK36" s="456"/>
      <c r="DL36" s="456"/>
      <c r="DM36" s="456"/>
      <c r="DN36" s="456"/>
      <c r="DO36" s="456"/>
      <c r="DP36" s="456"/>
      <c r="DQ36" s="456"/>
      <c r="DR36" s="456"/>
      <c r="DS36" s="456"/>
      <c r="DT36" s="91"/>
      <c r="DU36" s="126"/>
      <c r="DV36" s="126"/>
      <c r="DW36" s="126"/>
      <c r="DX36" s="342"/>
      <c r="DY36" s="343"/>
      <c r="DZ36" s="126"/>
      <c r="EA36" s="126"/>
      <c r="EB36" s="342"/>
      <c r="EC36" s="343"/>
      <c r="ED36" s="126"/>
      <c r="EE36" s="126"/>
      <c r="EF36" s="126"/>
      <c r="EG36" s="343"/>
      <c r="EH36" s="126"/>
      <c r="EI36" s="126"/>
      <c r="EJ36" s="126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450"/>
      <c r="GA36" s="127"/>
      <c r="GB36" s="127"/>
    </row>
    <row r="37" spans="1:184" ht="15" hidden="1" outlineLevel="1">
      <c r="A37" s="116" t="s">
        <v>73</v>
      </c>
      <c r="B37" s="117" t="s">
        <v>74</v>
      </c>
      <c r="C37" s="252">
        <v>15.63</v>
      </c>
      <c r="D37" s="252">
        <v>16.18</v>
      </c>
      <c r="E37" s="252">
        <v>20.635</v>
      </c>
      <c r="F37" s="260">
        <v>24.29</v>
      </c>
      <c r="G37" s="259">
        <v>20</v>
      </c>
      <c r="H37" s="252">
        <v>21.659999999999997</v>
      </c>
      <c r="I37" s="252">
        <f aca="true" t="shared" si="57" ref="I37:AF37">I146+I188+I239</f>
        <v>18.440000000000005</v>
      </c>
      <c r="J37" s="260">
        <f t="shared" si="57"/>
        <v>21.6</v>
      </c>
      <c r="K37" s="259">
        <f t="shared" si="57"/>
        <v>18.7</v>
      </c>
      <c r="L37" s="252">
        <f t="shared" si="57"/>
        <v>18.7</v>
      </c>
      <c r="M37" s="252">
        <f t="shared" si="57"/>
        <v>21.52</v>
      </c>
      <c r="N37" s="260">
        <f t="shared" si="57"/>
        <v>18.870000000000008</v>
      </c>
      <c r="O37" s="259">
        <f t="shared" si="57"/>
        <v>18.51</v>
      </c>
      <c r="P37" s="252">
        <f t="shared" si="57"/>
        <v>20.59</v>
      </c>
      <c r="Q37" s="252">
        <f t="shared" si="57"/>
        <v>20.599999999999998</v>
      </c>
      <c r="R37" s="252">
        <f t="shared" si="57"/>
        <v>20.205</v>
      </c>
      <c r="S37" s="259">
        <f t="shared" si="57"/>
        <v>21.6</v>
      </c>
      <c r="T37" s="252">
        <f t="shared" si="57"/>
        <v>18.375</v>
      </c>
      <c r="U37" s="252">
        <f t="shared" si="57"/>
        <v>22.284999999999997</v>
      </c>
      <c r="V37" s="252">
        <f t="shared" si="57"/>
        <v>25.6</v>
      </c>
      <c r="W37" s="259">
        <f t="shared" si="57"/>
        <v>20.86</v>
      </c>
      <c r="X37" s="252">
        <f t="shared" si="57"/>
        <v>18.93</v>
      </c>
      <c r="Y37" s="252">
        <f t="shared" si="57"/>
        <v>23.21</v>
      </c>
      <c r="Z37" s="252">
        <f t="shared" si="57"/>
        <v>19.700000000000003</v>
      </c>
      <c r="AA37" s="259">
        <f t="shared" si="57"/>
        <v>25.13</v>
      </c>
      <c r="AB37" s="252">
        <f t="shared" si="57"/>
        <v>22.750000000000004</v>
      </c>
      <c r="AC37" s="252">
        <f t="shared" si="57"/>
        <v>20.12</v>
      </c>
      <c r="AD37" s="252">
        <f t="shared" si="57"/>
        <v>22.844999999999995</v>
      </c>
      <c r="AE37" s="259">
        <f t="shared" si="57"/>
        <v>17.065</v>
      </c>
      <c r="AF37" s="252">
        <f t="shared" si="57"/>
        <v>18.02</v>
      </c>
      <c r="AG37" s="252"/>
      <c r="AH37" s="252"/>
      <c r="AI37" s="451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121">
        <v>1.403793</v>
      </c>
      <c r="BM37" s="121">
        <v>2.8001489999999993</v>
      </c>
      <c r="BN37" s="121">
        <v>4.035629500000001</v>
      </c>
      <c r="BO37" s="122">
        <v>5.7106715</v>
      </c>
      <c r="BP37" s="123">
        <v>3.8000000000000003</v>
      </c>
      <c r="BQ37" s="124">
        <v>5.859063999999998</v>
      </c>
      <c r="BR37" s="124">
        <f aca="true" t="shared" si="58" ref="BR37:CO37">BR146+BR188+BR239</f>
        <v>1.8409360000000008</v>
      </c>
      <c r="BS37" s="125">
        <f t="shared" si="58"/>
        <v>3.6000000000000005</v>
      </c>
      <c r="BT37" s="123">
        <f t="shared" si="58"/>
        <v>0.592842</v>
      </c>
      <c r="BU37" s="124">
        <f t="shared" si="58"/>
        <v>1.7260214999999999</v>
      </c>
      <c r="BV37" s="124">
        <f t="shared" si="58"/>
        <v>1.3811365000000002</v>
      </c>
      <c r="BW37" s="125">
        <f t="shared" si="58"/>
        <v>0.8249999999999994</v>
      </c>
      <c r="BX37" s="123">
        <f t="shared" si="58"/>
        <v>0.9</v>
      </c>
      <c r="BY37" s="124">
        <f t="shared" si="58"/>
        <v>1.2371559999999997</v>
      </c>
      <c r="BZ37" s="124">
        <f t="shared" si="58"/>
        <v>2.2628440000000007</v>
      </c>
      <c r="CA37" s="124">
        <f t="shared" si="58"/>
        <v>2.8565385</v>
      </c>
      <c r="CB37" s="123">
        <f t="shared" si="58"/>
        <v>3.8</v>
      </c>
      <c r="CC37" s="124">
        <f t="shared" si="58"/>
        <v>1.7999999999999998</v>
      </c>
      <c r="CD37" s="124">
        <f t="shared" si="58"/>
        <v>5.7167745000000005</v>
      </c>
      <c r="CE37" s="124">
        <f t="shared" si="58"/>
        <v>9.4832255</v>
      </c>
      <c r="CF37" s="123">
        <f t="shared" si="58"/>
        <v>4.893006</v>
      </c>
      <c r="CG37" s="124">
        <f t="shared" si="58"/>
        <v>2.6096135</v>
      </c>
      <c r="CH37" s="124">
        <f t="shared" si="58"/>
        <v>3.1973804999999995</v>
      </c>
      <c r="CI37" s="124">
        <f t="shared" si="58"/>
        <v>1.5</v>
      </c>
      <c r="CJ37" s="123">
        <f t="shared" si="58"/>
        <v>2.0425705</v>
      </c>
      <c r="CK37" s="124">
        <f t="shared" si="58"/>
        <v>0.6660895</v>
      </c>
      <c r="CL37" s="124">
        <f t="shared" si="58"/>
        <v>2.4364945000000002</v>
      </c>
      <c r="CM37" s="407">
        <f t="shared" si="58"/>
        <v>2.7276119999999997</v>
      </c>
      <c r="CN37" s="123">
        <f t="shared" si="58"/>
        <v>0.8888865</v>
      </c>
      <c r="CO37" s="124">
        <f t="shared" si="58"/>
        <v>0.7566379999999998</v>
      </c>
      <c r="CP37" s="124"/>
      <c r="CQ37" s="124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91"/>
      <c r="DU37" s="109">
        <v>3.8</v>
      </c>
      <c r="DV37" s="109">
        <v>1.7999999999999998</v>
      </c>
      <c r="DW37" s="109">
        <v>5.700000000000001</v>
      </c>
      <c r="DX37" s="340">
        <v>9.55</v>
      </c>
      <c r="DY37" s="341">
        <v>4.893006</v>
      </c>
      <c r="DZ37" s="109">
        <f>FQ37-DY37</f>
        <v>2.609613500000001</v>
      </c>
      <c r="EA37" s="109">
        <f>FR37-FQ37</f>
        <v>3.2151499999999986</v>
      </c>
      <c r="EB37" s="340">
        <f>FS37-FR37</f>
        <v>1.4822305</v>
      </c>
      <c r="EC37" s="341">
        <v>2.042570499999999</v>
      </c>
      <c r="ED37" s="109">
        <f>FT37-EC37</f>
        <v>0.6660894999999978</v>
      </c>
      <c r="EE37" s="109">
        <f>FU37-EC37-ED37</f>
        <v>2.4364980000000025</v>
      </c>
      <c r="EF37" s="109">
        <f>FV37-EE37-ED37-EC37</f>
        <v>2.7276084999999997</v>
      </c>
      <c r="EG37" s="341">
        <v>0.8888864999999999</v>
      </c>
      <c r="EH37" s="109">
        <f>FW37-EG37</f>
        <v>0.7566379999999995</v>
      </c>
      <c r="EI37" s="109"/>
      <c r="EJ37" s="109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110">
        <v>5.6</v>
      </c>
      <c r="FO37" s="110">
        <v>11.3</v>
      </c>
      <c r="FP37" s="110">
        <v>20.85</v>
      </c>
      <c r="FQ37" s="110">
        <v>7.502619500000001</v>
      </c>
      <c r="FR37" s="110">
        <v>10.7177695</v>
      </c>
      <c r="FS37" s="110">
        <v>12.2</v>
      </c>
      <c r="FT37" s="110">
        <v>2.708659999999997</v>
      </c>
      <c r="FU37" s="110">
        <v>5.1451579999999995</v>
      </c>
      <c r="FV37" s="110">
        <v>7.8727665</v>
      </c>
      <c r="FW37" s="110">
        <v>1.6455244999999994</v>
      </c>
      <c r="FX37" s="110"/>
      <c r="FY37" s="110"/>
      <c r="FZ37" s="451"/>
      <c r="GA37" s="63"/>
      <c r="GB37" s="63"/>
    </row>
    <row r="38" spans="1:184" s="129" customFormat="1" ht="15" hidden="1" outlineLevel="1">
      <c r="A38" s="99" t="s">
        <v>104</v>
      </c>
      <c r="B38" s="100" t="s">
        <v>93</v>
      </c>
      <c r="C38" s="257">
        <v>14.801001</v>
      </c>
      <c r="D38" s="257">
        <v>15.830492000000003</v>
      </c>
      <c r="E38" s="257">
        <v>16.628072999999997</v>
      </c>
      <c r="F38" s="258">
        <v>18.404069999999997</v>
      </c>
      <c r="G38" s="256">
        <v>16.8</v>
      </c>
      <c r="H38" s="257">
        <v>15.412561</v>
      </c>
      <c r="I38" s="257">
        <f aca="true" t="shared" si="59" ref="I38:AF38">I147+I189+I240</f>
        <v>16.487439000000006</v>
      </c>
      <c r="J38" s="258">
        <f t="shared" si="59"/>
        <v>20.39999999999999</v>
      </c>
      <c r="K38" s="256">
        <f t="shared" si="59"/>
        <v>17.999</v>
      </c>
      <c r="L38" s="257">
        <f t="shared" si="59"/>
        <v>16.857058000000006</v>
      </c>
      <c r="M38" s="257">
        <f t="shared" si="59"/>
        <v>19.742670999999998</v>
      </c>
      <c r="N38" s="258">
        <f t="shared" si="59"/>
        <v>18.969875999999996</v>
      </c>
      <c r="O38" s="256">
        <f t="shared" si="59"/>
        <v>17.2014635</v>
      </c>
      <c r="P38" s="257">
        <f t="shared" si="59"/>
        <v>19.266815000000005</v>
      </c>
      <c r="Q38" s="257">
        <f t="shared" si="59"/>
        <v>18.213995999999998</v>
      </c>
      <c r="R38" s="257">
        <f t="shared" si="59"/>
        <v>17.160271999999992</v>
      </c>
      <c r="S38" s="256">
        <f t="shared" si="59"/>
        <v>18.2</v>
      </c>
      <c r="T38" s="257">
        <f t="shared" si="59"/>
        <v>16.315882</v>
      </c>
      <c r="U38" s="257">
        <f t="shared" si="59"/>
        <v>17.245467500000007</v>
      </c>
      <c r="V38" s="257">
        <f t="shared" si="59"/>
        <v>15.5808605</v>
      </c>
      <c r="W38" s="256">
        <f t="shared" si="59"/>
        <v>15.1787025</v>
      </c>
      <c r="X38" s="257">
        <f t="shared" si="59"/>
        <v>16.6110505</v>
      </c>
      <c r="Y38" s="257">
        <f t="shared" si="59"/>
        <v>20.810247000000004</v>
      </c>
      <c r="Z38" s="257">
        <f t="shared" si="59"/>
        <v>18.099999999999994</v>
      </c>
      <c r="AA38" s="256">
        <f t="shared" si="59"/>
        <v>23.259885</v>
      </c>
      <c r="AB38" s="257">
        <f t="shared" si="59"/>
        <v>21.446167</v>
      </c>
      <c r="AC38" s="257">
        <f t="shared" si="59"/>
        <v>18.266994000000008</v>
      </c>
      <c r="AD38" s="257">
        <f t="shared" si="59"/>
        <v>19.375734999999988</v>
      </c>
      <c r="AE38" s="256">
        <f t="shared" si="59"/>
        <v>15.621786</v>
      </c>
      <c r="AF38" s="257">
        <f t="shared" si="59"/>
        <v>17.555917</v>
      </c>
      <c r="AG38" s="257"/>
      <c r="AH38" s="257"/>
      <c r="AI38" s="450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11"/>
      <c r="BM38" s="111"/>
      <c r="BN38" s="111"/>
      <c r="BO38" s="112"/>
      <c r="BP38" s="113"/>
      <c r="BQ38" s="114"/>
      <c r="BR38" s="114"/>
      <c r="BS38" s="115"/>
      <c r="BT38" s="113"/>
      <c r="BU38" s="114"/>
      <c r="BV38" s="114"/>
      <c r="BW38" s="115"/>
      <c r="BX38" s="113"/>
      <c r="BY38" s="114"/>
      <c r="BZ38" s="114"/>
      <c r="CA38" s="114"/>
      <c r="CB38" s="113"/>
      <c r="CC38" s="114"/>
      <c r="CD38" s="114"/>
      <c r="CE38" s="114"/>
      <c r="CF38" s="113"/>
      <c r="CG38" s="114"/>
      <c r="CH38" s="114"/>
      <c r="CI38" s="114"/>
      <c r="CJ38" s="113"/>
      <c r="CK38" s="114"/>
      <c r="CL38" s="114"/>
      <c r="CM38" s="406"/>
      <c r="CN38" s="113"/>
      <c r="CO38" s="114"/>
      <c r="CP38" s="114"/>
      <c r="CQ38" s="114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91"/>
      <c r="DU38" s="126"/>
      <c r="DV38" s="126"/>
      <c r="DW38" s="126"/>
      <c r="DX38" s="342"/>
      <c r="DY38" s="343"/>
      <c r="DZ38" s="126"/>
      <c r="EA38" s="126"/>
      <c r="EB38" s="342"/>
      <c r="EC38" s="343"/>
      <c r="ED38" s="126"/>
      <c r="EE38" s="126"/>
      <c r="EF38" s="126"/>
      <c r="EG38" s="343"/>
      <c r="EH38" s="126"/>
      <c r="EI38" s="126"/>
      <c r="EJ38" s="126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450"/>
      <c r="GA38" s="127"/>
      <c r="GB38" s="127"/>
    </row>
    <row r="39" spans="1:184" ht="15" hidden="1" outlineLevel="1">
      <c r="A39" s="116" t="s">
        <v>128</v>
      </c>
      <c r="B39" s="117" t="s">
        <v>76</v>
      </c>
      <c r="C39" s="252">
        <v>30.34804</v>
      </c>
      <c r="D39" s="252">
        <v>29.548959999999997</v>
      </c>
      <c r="E39" s="252">
        <v>31.43363</v>
      </c>
      <c r="F39" s="260">
        <v>34.81348</v>
      </c>
      <c r="G39" s="259">
        <v>32</v>
      </c>
      <c r="H39" s="252">
        <v>29.4</v>
      </c>
      <c r="I39" s="252">
        <f aca="true" t="shared" si="60" ref="I39:AF39">I148+I190+I241</f>
        <v>32.099999999999994</v>
      </c>
      <c r="J39" s="260">
        <f t="shared" si="60"/>
        <v>38.80000000000001</v>
      </c>
      <c r="K39" s="259">
        <f t="shared" si="60"/>
        <v>34.25189</v>
      </c>
      <c r="L39" s="252">
        <f t="shared" si="60"/>
        <v>34.289829999999995</v>
      </c>
      <c r="M39" s="252">
        <f t="shared" si="60"/>
        <v>39.54221000000001</v>
      </c>
      <c r="N39" s="260">
        <f t="shared" si="60"/>
        <v>36.24379499999998</v>
      </c>
      <c r="O39" s="259">
        <f t="shared" si="60"/>
        <v>32.496359999999996</v>
      </c>
      <c r="P39" s="252">
        <f t="shared" si="60"/>
        <v>38.503640000000004</v>
      </c>
      <c r="Q39" s="252">
        <f t="shared" si="60"/>
        <v>35.3</v>
      </c>
      <c r="R39" s="252">
        <f t="shared" si="60"/>
        <v>32.82221</v>
      </c>
      <c r="S39" s="259">
        <f t="shared" si="60"/>
        <v>34.1</v>
      </c>
      <c r="T39" s="252">
        <f t="shared" si="60"/>
        <v>33.26488</v>
      </c>
      <c r="U39" s="252">
        <f t="shared" si="60"/>
        <v>33.81868000000001</v>
      </c>
      <c r="V39" s="252">
        <f t="shared" si="60"/>
        <v>29.27861999999999</v>
      </c>
      <c r="W39" s="259">
        <f t="shared" si="60"/>
        <v>30.38163</v>
      </c>
      <c r="X39" s="252">
        <f t="shared" si="60"/>
        <v>34.32155</v>
      </c>
      <c r="Y39" s="252">
        <f t="shared" si="60"/>
        <v>41.29682</v>
      </c>
      <c r="Z39" s="252">
        <f t="shared" si="60"/>
        <v>37.69999999999999</v>
      </c>
      <c r="AA39" s="259">
        <f t="shared" si="60"/>
        <v>47.408209</v>
      </c>
      <c r="AB39" s="252">
        <f t="shared" si="60"/>
        <v>43.756598999999994</v>
      </c>
      <c r="AC39" s="252">
        <f t="shared" si="60"/>
        <v>37.357099000000005</v>
      </c>
      <c r="AD39" s="252">
        <f t="shared" si="60"/>
        <v>39.67457400000001</v>
      </c>
      <c r="AE39" s="259">
        <f t="shared" si="60"/>
        <v>31.885852</v>
      </c>
      <c r="AF39" s="252">
        <f t="shared" si="60"/>
        <v>34.527902</v>
      </c>
      <c r="AG39" s="252"/>
      <c r="AH39" s="252"/>
      <c r="AI39" s="451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121">
        <v>2.14062</v>
      </c>
      <c r="BM39" s="121">
        <v>1.3990099999999996</v>
      </c>
      <c r="BN39" s="121">
        <v>2.9424799999999998</v>
      </c>
      <c r="BO39" s="122">
        <v>3.171640000000001</v>
      </c>
      <c r="BP39" s="123">
        <f aca="true" t="shared" si="61" ref="BP39:BV39">BP148</f>
        <v>2.9</v>
      </c>
      <c r="BQ39" s="124">
        <f t="shared" si="61"/>
        <v>3.299375</v>
      </c>
      <c r="BR39" s="124">
        <f t="shared" si="61"/>
        <v>4.000624999999999</v>
      </c>
      <c r="BS39" s="125">
        <f t="shared" si="61"/>
        <v>3.3000000000000007</v>
      </c>
      <c r="BT39" s="123">
        <f t="shared" si="61"/>
        <v>2.90117</v>
      </c>
      <c r="BU39" s="124">
        <f t="shared" si="61"/>
        <v>2.53335</v>
      </c>
      <c r="BV39" s="124">
        <f t="shared" si="61"/>
        <v>2.46548</v>
      </c>
      <c r="BW39" s="125">
        <f aca="true" t="shared" si="62" ref="BW39:CE39">BW148</f>
        <v>2.334</v>
      </c>
      <c r="BX39" s="123">
        <f t="shared" si="62"/>
        <v>2.2</v>
      </c>
      <c r="BY39" s="124">
        <f t="shared" si="62"/>
        <v>2.6806</v>
      </c>
      <c r="BZ39" s="124">
        <f t="shared" si="62"/>
        <v>2.3194</v>
      </c>
      <c r="CA39" s="124">
        <f t="shared" si="62"/>
        <v>2.2262700000000004</v>
      </c>
      <c r="CB39" s="123">
        <f t="shared" si="62"/>
        <v>2.7</v>
      </c>
      <c r="CC39" s="124">
        <f t="shared" si="62"/>
        <v>2.3999999999999995</v>
      </c>
      <c r="CD39" s="124">
        <f t="shared" si="62"/>
        <v>1.6623400000000004</v>
      </c>
      <c r="CE39" s="124">
        <f t="shared" si="62"/>
        <v>1.3101000000000003</v>
      </c>
      <c r="CF39" s="123">
        <f aca="true" t="shared" si="63" ref="CF39:CK39">CF148</f>
        <v>0.93163</v>
      </c>
      <c r="CG39" s="124">
        <f t="shared" si="63"/>
        <v>3.3725499999999995</v>
      </c>
      <c r="CH39" s="124">
        <f t="shared" si="63"/>
        <v>3.49582</v>
      </c>
      <c r="CI39" s="124">
        <f t="shared" si="63"/>
        <v>1.1000000000000008</v>
      </c>
      <c r="CJ39" s="123">
        <f t="shared" si="63"/>
        <v>5.9477</v>
      </c>
      <c r="CK39" s="124">
        <f t="shared" si="63"/>
        <v>6.1499279999999965</v>
      </c>
      <c r="CL39" s="124">
        <f>CL148</f>
        <v>2.7910590000000015</v>
      </c>
      <c r="CM39" s="407">
        <f>CM148</f>
        <v>4.809793999999987</v>
      </c>
      <c r="CN39" s="123">
        <f>CN148</f>
        <v>3.076972</v>
      </c>
      <c r="CO39" s="124">
        <f>CO148</f>
        <v>3.704722</v>
      </c>
      <c r="CP39" s="124"/>
      <c r="CQ39" s="124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91"/>
      <c r="DU39" s="109">
        <v>2.7</v>
      </c>
      <c r="DV39" s="109">
        <v>2.3999999999999995</v>
      </c>
      <c r="DW39" s="109">
        <v>1.7000000000000002</v>
      </c>
      <c r="DX39" s="340">
        <v>1.2700000000000005</v>
      </c>
      <c r="DY39" s="341">
        <v>0.93163</v>
      </c>
      <c r="DZ39" s="109">
        <f>FQ39-DY39</f>
        <v>3.3725500000000013</v>
      </c>
      <c r="EA39" s="109">
        <f>FR39-FQ39</f>
        <v>3.531808999999998</v>
      </c>
      <c r="EB39" s="340">
        <f>FS39-FR39</f>
        <v>1.0640110000000007</v>
      </c>
      <c r="EC39" s="341">
        <v>5.947701</v>
      </c>
      <c r="ED39" s="109">
        <f>FT39-EC39</f>
        <v>6.149927</v>
      </c>
      <c r="EE39" s="109">
        <f>FU39-EC39-ED39</f>
        <v>2.7910589999999935</v>
      </c>
      <c r="EF39" s="109">
        <f>FV39-EE39-ED39-EC39</f>
        <v>4.809794000000007</v>
      </c>
      <c r="EG39" s="341">
        <v>3.076972</v>
      </c>
      <c r="EH39" s="109">
        <f>FW39-EG39</f>
        <v>3.704722</v>
      </c>
      <c r="EI39" s="109"/>
      <c r="EJ39" s="109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110">
        <v>5.1</v>
      </c>
      <c r="FO39" s="110">
        <v>6.8</v>
      </c>
      <c r="FP39" s="110">
        <v>8.07</v>
      </c>
      <c r="FQ39" s="110">
        <v>4.3041800000000014</v>
      </c>
      <c r="FR39" s="110">
        <v>7.835989</v>
      </c>
      <c r="FS39" s="110">
        <v>8.9</v>
      </c>
      <c r="FT39" s="110">
        <v>12.097628</v>
      </c>
      <c r="FU39" s="110">
        <v>14.888686999999994</v>
      </c>
      <c r="FV39" s="110">
        <v>19.698481</v>
      </c>
      <c r="FW39" s="110">
        <v>6.781694</v>
      </c>
      <c r="FX39" s="110"/>
      <c r="FY39" s="110"/>
      <c r="FZ39" s="451"/>
      <c r="GA39" s="63"/>
      <c r="GB39" s="63"/>
    </row>
    <row r="40" spans="1:184" s="129" customFormat="1" ht="15" hidden="1" outlineLevel="1">
      <c r="A40" s="99" t="s">
        <v>104</v>
      </c>
      <c r="B40" s="100" t="s">
        <v>93</v>
      </c>
      <c r="C40" s="257">
        <v>28.333</v>
      </c>
      <c r="D40" s="257">
        <v>27.857</v>
      </c>
      <c r="E40" s="257">
        <v>28.531000000000006</v>
      </c>
      <c r="F40" s="258">
        <v>32.019999999999996</v>
      </c>
      <c r="G40" s="256">
        <v>28.9</v>
      </c>
      <c r="H40" s="257">
        <v>26.232000000000006</v>
      </c>
      <c r="I40" s="257">
        <f aca="true" t="shared" si="64" ref="I40:AF40">I149+I191+I242</f>
        <v>27.96799999999999</v>
      </c>
      <c r="J40" s="258">
        <f t="shared" si="64"/>
        <v>35.60000000000001</v>
      </c>
      <c r="K40" s="256">
        <f t="shared" si="64"/>
        <v>31.353</v>
      </c>
      <c r="L40" s="257">
        <f t="shared" si="64"/>
        <v>31.585</v>
      </c>
      <c r="M40" s="257">
        <f t="shared" si="64"/>
        <v>36.60199999999998</v>
      </c>
      <c r="N40" s="258">
        <f t="shared" si="64"/>
        <v>34.512000000000036</v>
      </c>
      <c r="O40" s="256">
        <f t="shared" si="64"/>
        <v>30.286</v>
      </c>
      <c r="P40" s="257">
        <f t="shared" si="64"/>
        <v>35.786</v>
      </c>
      <c r="Q40" s="257">
        <f t="shared" si="64"/>
        <v>27.51899999999999</v>
      </c>
      <c r="R40" s="257">
        <f t="shared" si="64"/>
        <v>36.063</v>
      </c>
      <c r="S40" s="256">
        <f t="shared" si="64"/>
        <v>31.4</v>
      </c>
      <c r="T40" s="257">
        <f t="shared" si="64"/>
        <v>30.977000000000004</v>
      </c>
      <c r="U40" s="257">
        <f t="shared" si="64"/>
        <v>32.13</v>
      </c>
      <c r="V40" s="257">
        <f t="shared" si="64"/>
        <v>13.298999999999992</v>
      </c>
      <c r="W40" s="256">
        <f t="shared" si="64"/>
        <v>29.408</v>
      </c>
      <c r="X40" s="257">
        <f t="shared" si="64"/>
        <v>31.033</v>
      </c>
      <c r="Y40" s="257">
        <f t="shared" si="64"/>
        <v>37.759</v>
      </c>
      <c r="Z40" s="257">
        <f t="shared" si="64"/>
        <v>36.7</v>
      </c>
      <c r="AA40" s="256">
        <f t="shared" si="64"/>
        <v>41.316</v>
      </c>
      <c r="AB40" s="257">
        <f t="shared" si="64"/>
        <v>37.327</v>
      </c>
      <c r="AC40" s="257">
        <f t="shared" si="64"/>
        <v>34.905</v>
      </c>
      <c r="AD40" s="257">
        <f t="shared" si="64"/>
        <v>34.94999999999999</v>
      </c>
      <c r="AE40" s="256">
        <f t="shared" si="64"/>
        <v>28.756999999999998</v>
      </c>
      <c r="AF40" s="257">
        <f t="shared" si="64"/>
        <v>30.791000000000004</v>
      </c>
      <c r="AG40" s="257"/>
      <c r="AH40" s="257"/>
      <c r="AI40" s="450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11"/>
      <c r="BM40" s="111"/>
      <c r="BN40" s="111"/>
      <c r="BO40" s="112"/>
      <c r="BP40" s="113"/>
      <c r="BQ40" s="114"/>
      <c r="BR40" s="114"/>
      <c r="BS40" s="115"/>
      <c r="BT40" s="113"/>
      <c r="BU40" s="114"/>
      <c r="BV40" s="114"/>
      <c r="BW40" s="115"/>
      <c r="BX40" s="113"/>
      <c r="BY40" s="114"/>
      <c r="BZ40" s="114"/>
      <c r="CA40" s="114"/>
      <c r="CB40" s="113"/>
      <c r="CC40" s="114"/>
      <c r="CD40" s="114"/>
      <c r="CE40" s="114"/>
      <c r="CF40" s="113"/>
      <c r="CG40" s="114"/>
      <c r="CH40" s="114"/>
      <c r="CI40" s="114"/>
      <c r="CJ40" s="113"/>
      <c r="CK40" s="114"/>
      <c r="CL40" s="114"/>
      <c r="CM40" s="406"/>
      <c r="CN40" s="113"/>
      <c r="CO40" s="114"/>
      <c r="CP40" s="114"/>
      <c r="CQ40" s="114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91"/>
      <c r="DU40" s="126"/>
      <c r="DV40" s="126"/>
      <c r="DW40" s="126"/>
      <c r="DX40" s="342"/>
      <c r="DY40" s="343"/>
      <c r="DZ40" s="126"/>
      <c r="EA40" s="126"/>
      <c r="EB40" s="342"/>
      <c r="EC40" s="343"/>
      <c r="ED40" s="126"/>
      <c r="EE40" s="126"/>
      <c r="EF40" s="126"/>
      <c r="EG40" s="343"/>
      <c r="EH40" s="126"/>
      <c r="EI40" s="126"/>
      <c r="EJ40" s="126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450"/>
      <c r="GA40" s="127"/>
      <c r="GB40" s="127"/>
    </row>
    <row r="41" spans="1:184" ht="30" customHeight="1" hidden="1" outlineLevel="1">
      <c r="A41" s="116" t="s">
        <v>77</v>
      </c>
      <c r="B41" s="117" t="s">
        <v>78</v>
      </c>
      <c r="C41" s="252">
        <v>0</v>
      </c>
      <c r="D41" s="252">
        <v>0</v>
      </c>
      <c r="E41" s="252">
        <v>0</v>
      </c>
      <c r="F41" s="260">
        <v>0</v>
      </c>
      <c r="G41" s="259"/>
      <c r="H41" s="252">
        <v>0</v>
      </c>
      <c r="I41" s="252">
        <f aca="true" t="shared" si="65" ref="I41:L43">I150+I192+I243</f>
        <v>0</v>
      </c>
      <c r="J41" s="260">
        <f t="shared" si="65"/>
        <v>0</v>
      </c>
      <c r="K41" s="259">
        <f t="shared" si="65"/>
        <v>0</v>
      </c>
      <c r="L41" s="252">
        <f t="shared" si="65"/>
        <v>0</v>
      </c>
      <c r="M41" s="252"/>
      <c r="N41" s="260"/>
      <c r="O41" s="259"/>
      <c r="P41" s="252"/>
      <c r="Q41" s="252"/>
      <c r="R41" s="252"/>
      <c r="S41" s="259"/>
      <c r="T41" s="252"/>
      <c r="U41" s="252"/>
      <c r="V41" s="252"/>
      <c r="W41" s="259"/>
      <c r="X41" s="252"/>
      <c r="Y41" s="252"/>
      <c r="Z41" s="252"/>
      <c r="AA41" s="259"/>
      <c r="AB41" s="252"/>
      <c r="AC41" s="252"/>
      <c r="AD41" s="252"/>
      <c r="AE41" s="259"/>
      <c r="AF41" s="252"/>
      <c r="AG41" s="252"/>
      <c r="AH41" s="252"/>
      <c r="AI41" s="451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121">
        <v>0</v>
      </c>
      <c r="BM41" s="121">
        <v>0</v>
      </c>
      <c r="BN41" s="121">
        <v>0</v>
      </c>
      <c r="BO41" s="122">
        <v>0</v>
      </c>
      <c r="BP41" s="123">
        <v>0</v>
      </c>
      <c r="BQ41" s="124">
        <v>0</v>
      </c>
      <c r="BR41" s="124">
        <f aca="true" t="shared" si="66" ref="BR41:BU44">BR150+BR192+BR243</f>
        <v>0</v>
      </c>
      <c r="BS41" s="125">
        <f t="shared" si="66"/>
        <v>0</v>
      </c>
      <c r="BT41" s="123">
        <f t="shared" si="66"/>
        <v>0</v>
      </c>
      <c r="BU41" s="124">
        <f t="shared" si="66"/>
        <v>0</v>
      </c>
      <c r="BV41" s="124"/>
      <c r="BW41" s="125"/>
      <c r="BX41" s="123"/>
      <c r="BY41" s="124"/>
      <c r="BZ41" s="124"/>
      <c r="CA41" s="124"/>
      <c r="CB41" s="123"/>
      <c r="CC41" s="124"/>
      <c r="CD41" s="124"/>
      <c r="CE41" s="124"/>
      <c r="CF41" s="123"/>
      <c r="CG41" s="124"/>
      <c r="CH41" s="124"/>
      <c r="CI41" s="124"/>
      <c r="CJ41" s="123"/>
      <c r="CK41" s="124"/>
      <c r="CL41" s="124"/>
      <c r="CM41" s="407"/>
      <c r="CN41" s="123"/>
      <c r="CO41" s="124"/>
      <c r="CP41" s="124"/>
      <c r="CQ41" s="124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91"/>
      <c r="DU41" s="109"/>
      <c r="DV41" s="109"/>
      <c r="DW41" s="109"/>
      <c r="DX41" s="340"/>
      <c r="DY41" s="341"/>
      <c r="DZ41" s="109"/>
      <c r="EA41" s="109"/>
      <c r="EB41" s="340"/>
      <c r="EC41" s="341"/>
      <c r="ED41" s="109"/>
      <c r="EE41" s="109"/>
      <c r="EF41" s="109"/>
      <c r="EG41" s="341"/>
      <c r="EH41" s="109"/>
      <c r="EI41" s="109"/>
      <c r="EJ41" s="109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451"/>
      <c r="GA41" s="63"/>
      <c r="GB41" s="63"/>
    </row>
    <row r="42" spans="1:184" ht="15" customHeight="1" hidden="1" outlineLevel="1">
      <c r="A42" s="99" t="s">
        <v>104</v>
      </c>
      <c r="B42" s="100" t="s">
        <v>93</v>
      </c>
      <c r="C42" s="257">
        <v>0</v>
      </c>
      <c r="D42" s="257">
        <v>0</v>
      </c>
      <c r="E42" s="257">
        <v>0</v>
      </c>
      <c r="F42" s="258">
        <v>0</v>
      </c>
      <c r="G42" s="256"/>
      <c r="H42" s="257">
        <v>0</v>
      </c>
      <c r="I42" s="257">
        <f t="shared" si="65"/>
        <v>0</v>
      </c>
      <c r="J42" s="258">
        <f t="shared" si="65"/>
        <v>0</v>
      </c>
      <c r="K42" s="256">
        <f t="shared" si="65"/>
        <v>0</v>
      </c>
      <c r="L42" s="252">
        <f t="shared" si="65"/>
        <v>0</v>
      </c>
      <c r="M42" s="252"/>
      <c r="N42" s="260"/>
      <c r="O42" s="259"/>
      <c r="P42" s="252"/>
      <c r="Q42" s="252"/>
      <c r="R42" s="252"/>
      <c r="S42" s="259"/>
      <c r="T42" s="252"/>
      <c r="U42" s="252"/>
      <c r="V42" s="252"/>
      <c r="W42" s="259"/>
      <c r="X42" s="252"/>
      <c r="Y42" s="252"/>
      <c r="Z42" s="252"/>
      <c r="AA42" s="259"/>
      <c r="AB42" s="252"/>
      <c r="AC42" s="252"/>
      <c r="AD42" s="252"/>
      <c r="AE42" s="259"/>
      <c r="AF42" s="252"/>
      <c r="AG42" s="252"/>
      <c r="AH42" s="252"/>
      <c r="AI42" s="451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111">
        <v>0</v>
      </c>
      <c r="BM42" s="111">
        <v>0</v>
      </c>
      <c r="BN42" s="111">
        <v>0</v>
      </c>
      <c r="BO42" s="112">
        <v>0</v>
      </c>
      <c r="BP42" s="113"/>
      <c r="BQ42" s="114">
        <v>0</v>
      </c>
      <c r="BR42" s="114">
        <f t="shared" si="66"/>
        <v>0</v>
      </c>
      <c r="BS42" s="115">
        <f t="shared" si="66"/>
        <v>0</v>
      </c>
      <c r="BT42" s="113">
        <f t="shared" si="66"/>
        <v>0</v>
      </c>
      <c r="BU42" s="114">
        <f t="shared" si="66"/>
        <v>0</v>
      </c>
      <c r="BV42" s="114"/>
      <c r="BW42" s="115"/>
      <c r="BX42" s="113"/>
      <c r="BY42" s="114"/>
      <c r="BZ42" s="114"/>
      <c r="CA42" s="114"/>
      <c r="CB42" s="113"/>
      <c r="CC42" s="114"/>
      <c r="CD42" s="114"/>
      <c r="CE42" s="114"/>
      <c r="CF42" s="113"/>
      <c r="CG42" s="114"/>
      <c r="CH42" s="114"/>
      <c r="CI42" s="114"/>
      <c r="CJ42" s="113"/>
      <c r="CK42" s="114"/>
      <c r="CL42" s="114"/>
      <c r="CM42" s="406"/>
      <c r="CN42" s="113"/>
      <c r="CO42" s="114"/>
      <c r="CP42" s="114"/>
      <c r="CQ42" s="114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91"/>
      <c r="DU42" s="109"/>
      <c r="DV42" s="109"/>
      <c r="DW42" s="109"/>
      <c r="DX42" s="340"/>
      <c r="DY42" s="341"/>
      <c r="DZ42" s="109"/>
      <c r="EA42" s="109"/>
      <c r="EB42" s="340"/>
      <c r="EC42" s="341"/>
      <c r="ED42" s="109"/>
      <c r="EE42" s="109"/>
      <c r="EF42" s="109"/>
      <c r="EG42" s="341"/>
      <c r="EH42" s="109"/>
      <c r="EI42" s="109"/>
      <c r="EJ42" s="109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451"/>
      <c r="GA42" s="63"/>
      <c r="GB42" s="63"/>
    </row>
    <row r="43" spans="1:184" ht="17.25" customHeight="1" hidden="1" outlineLevel="1">
      <c r="A43" s="116" t="s">
        <v>132</v>
      </c>
      <c r="B43" s="117" t="s">
        <v>138</v>
      </c>
      <c r="C43" s="252">
        <v>36.532554</v>
      </c>
      <c r="D43" s="252">
        <v>35.83844600000001</v>
      </c>
      <c r="E43" s="252">
        <v>37.50084299999999</v>
      </c>
      <c r="F43" s="260">
        <v>42.61399899999999</v>
      </c>
      <c r="G43" s="259">
        <v>38.9</v>
      </c>
      <c r="H43" s="252">
        <v>34.698308000000004</v>
      </c>
      <c r="I43" s="252">
        <f t="shared" si="65"/>
        <v>35.10169199999999</v>
      </c>
      <c r="J43" s="260">
        <f t="shared" si="65"/>
        <v>48.30000000000001</v>
      </c>
      <c r="K43" s="259">
        <f t="shared" si="65"/>
        <v>41.6</v>
      </c>
      <c r="L43" s="252">
        <f t="shared" si="65"/>
        <v>40.800000000000004</v>
      </c>
      <c r="M43" s="252">
        <f aca="true" t="shared" si="67" ref="M43:AF43">M152+M194+M245</f>
        <v>47.80253000000001</v>
      </c>
      <c r="N43" s="260">
        <f t="shared" si="67"/>
        <v>46.29746999999997</v>
      </c>
      <c r="O43" s="259">
        <f t="shared" si="67"/>
        <v>39.39963</v>
      </c>
      <c r="P43" s="252">
        <f t="shared" si="67"/>
        <v>46.096295</v>
      </c>
      <c r="Q43" s="252">
        <f t="shared" si="67"/>
        <v>44.03298100000001</v>
      </c>
      <c r="R43" s="252">
        <f t="shared" si="67"/>
        <v>40.65323000000001</v>
      </c>
      <c r="S43" s="259">
        <f t="shared" si="67"/>
        <v>42.6</v>
      </c>
      <c r="T43" s="252">
        <f t="shared" si="67"/>
        <v>41.516527</v>
      </c>
      <c r="U43" s="252">
        <f t="shared" si="67"/>
        <v>42.29849999999998</v>
      </c>
      <c r="V43" s="252">
        <f t="shared" si="67"/>
        <v>37.71773000000002</v>
      </c>
      <c r="W43" s="259">
        <f t="shared" si="67"/>
        <v>38.2</v>
      </c>
      <c r="X43" s="252">
        <f t="shared" si="67"/>
        <v>40.81981499999999</v>
      </c>
      <c r="Y43" s="252">
        <f t="shared" si="67"/>
        <v>49.680184999999994</v>
      </c>
      <c r="Z43" s="252">
        <f t="shared" si="67"/>
        <v>45.70000000000002</v>
      </c>
      <c r="AA43" s="259">
        <f t="shared" si="67"/>
        <v>51.989058</v>
      </c>
      <c r="AB43" s="252">
        <f t="shared" si="67"/>
        <v>46.594699000000006</v>
      </c>
      <c r="AC43" s="252">
        <f t="shared" si="67"/>
        <v>44.84799099999999</v>
      </c>
      <c r="AD43" s="252">
        <f t="shared" si="67"/>
        <v>44.38267699999999</v>
      </c>
      <c r="AE43" s="259">
        <f t="shared" si="67"/>
        <v>36.852281</v>
      </c>
      <c r="AF43" s="252">
        <f t="shared" si="67"/>
        <v>38.838328</v>
      </c>
      <c r="AG43" s="252"/>
      <c r="AH43" s="252"/>
      <c r="AI43" s="451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121">
        <v>37.35117399999999</v>
      </c>
      <c r="BM43" s="121">
        <v>34.732203000000005</v>
      </c>
      <c r="BN43" s="121">
        <v>37.73134599999999</v>
      </c>
      <c r="BO43" s="122">
        <v>42.51259900000002</v>
      </c>
      <c r="BP43" s="123">
        <v>37.6</v>
      </c>
      <c r="BQ43" s="124">
        <v>35.609868</v>
      </c>
      <c r="BR43" s="124">
        <f t="shared" si="66"/>
        <v>34.590132000000004</v>
      </c>
      <c r="BS43" s="125">
        <f t="shared" si="66"/>
        <v>47.89999999999998</v>
      </c>
      <c r="BT43" s="123">
        <f t="shared" si="66"/>
        <v>41.669708</v>
      </c>
      <c r="BU43" s="124">
        <f t="shared" si="66"/>
        <v>41.312155000000004</v>
      </c>
      <c r="BV43" s="124">
        <f aca="true" t="shared" si="68" ref="BV43:CO43">BV152+BV194+BV245</f>
        <v>46.81813700000001</v>
      </c>
      <c r="BW43" s="125">
        <f t="shared" si="68"/>
        <v>45.48799999999997</v>
      </c>
      <c r="BX43" s="123">
        <f t="shared" si="68"/>
        <v>39.8</v>
      </c>
      <c r="BY43" s="124">
        <f t="shared" si="68"/>
        <v>45.949830000000006</v>
      </c>
      <c r="BZ43" s="124">
        <f t="shared" si="68"/>
        <v>43.950169999999986</v>
      </c>
      <c r="CA43" s="124">
        <f t="shared" si="68"/>
        <v>40.31759600000001</v>
      </c>
      <c r="CB43" s="123">
        <f t="shared" si="68"/>
        <v>42.5</v>
      </c>
      <c r="CC43" s="124">
        <f t="shared" si="68"/>
        <v>41.3</v>
      </c>
      <c r="CD43" s="124">
        <f t="shared" si="68"/>
        <v>41.633787</v>
      </c>
      <c r="CE43" s="124">
        <f t="shared" si="68"/>
        <v>38.12621300000001</v>
      </c>
      <c r="CF43" s="123">
        <f t="shared" si="68"/>
        <v>38.16138</v>
      </c>
      <c r="CG43" s="124">
        <f t="shared" si="68"/>
        <v>40.247925</v>
      </c>
      <c r="CH43" s="124">
        <f t="shared" si="68"/>
        <v>49.190694999999984</v>
      </c>
      <c r="CI43" s="124">
        <f t="shared" si="68"/>
        <v>46.1</v>
      </c>
      <c r="CJ43" s="123">
        <f t="shared" si="68"/>
        <v>51.715931</v>
      </c>
      <c r="CK43" s="124">
        <f t="shared" si="68"/>
        <v>46.18492299999991</v>
      </c>
      <c r="CL43" s="124">
        <f t="shared" si="68"/>
        <v>44.70377400000008</v>
      </c>
      <c r="CM43" s="407">
        <f t="shared" si="68"/>
        <v>43.893095000000315</v>
      </c>
      <c r="CN43" s="123">
        <f t="shared" si="68"/>
        <v>36.528686</v>
      </c>
      <c r="CO43" s="124">
        <f t="shared" si="68"/>
        <v>38.671168</v>
      </c>
      <c r="CP43" s="124"/>
      <c r="CQ43" s="124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91"/>
      <c r="DU43" s="109">
        <v>42.5</v>
      </c>
      <c r="DV43" s="109">
        <v>41.3</v>
      </c>
      <c r="DW43" s="109">
        <v>41.60000000000001</v>
      </c>
      <c r="DX43" s="340">
        <v>38.16</v>
      </c>
      <c r="DY43" s="341">
        <v>38.161379999999994</v>
      </c>
      <c r="DZ43" s="109">
        <f>FQ43-DY43</f>
        <v>40.24792499999985</v>
      </c>
      <c r="EA43" s="109">
        <f>FR43-FQ43</f>
        <v>49.20554999999955</v>
      </c>
      <c r="EB43" s="340">
        <f>FS43-FR43</f>
        <v>46.085145000000594</v>
      </c>
      <c r="EC43" s="341">
        <v>51.715931000000175</v>
      </c>
      <c r="ED43" s="109">
        <f>FT43-EC43</f>
        <v>46.184922999999806</v>
      </c>
      <c r="EE43" s="109">
        <f>FU43-EC43-ED43</f>
        <v>44.70377800000028</v>
      </c>
      <c r="EF43" s="109">
        <f>FV43-EE43-ED43-EC43</f>
        <v>43.893090999999494</v>
      </c>
      <c r="EG43" s="341">
        <v>36.52868599999999</v>
      </c>
      <c r="EH43" s="109">
        <f>FW43-EG43</f>
        <v>38.67116800000021</v>
      </c>
      <c r="EI43" s="109"/>
      <c r="EJ43" s="109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110">
        <v>83.8</v>
      </c>
      <c r="FO43" s="110">
        <v>125.4</v>
      </c>
      <c r="FP43" s="110">
        <v>163.56</v>
      </c>
      <c r="FQ43" s="110">
        <v>78.40930499999985</v>
      </c>
      <c r="FR43" s="110">
        <v>127.6148549999994</v>
      </c>
      <c r="FS43" s="110">
        <v>173.7</v>
      </c>
      <c r="FT43" s="110">
        <v>97.90085399999998</v>
      </c>
      <c r="FU43" s="110">
        <v>142.60463200000027</v>
      </c>
      <c r="FV43" s="110">
        <v>186.49772299999975</v>
      </c>
      <c r="FW43" s="110">
        <v>75.1998540000002</v>
      </c>
      <c r="FX43" s="110"/>
      <c r="FY43" s="110"/>
      <c r="FZ43" s="451"/>
      <c r="GA43" s="63"/>
      <c r="GB43" s="63"/>
    </row>
    <row r="44" spans="1:184" ht="15" customHeight="1" hidden="1" outlineLevel="1">
      <c r="A44" s="116"/>
      <c r="B44" s="100" t="s">
        <v>93</v>
      </c>
      <c r="C44" s="252"/>
      <c r="D44" s="252"/>
      <c r="E44" s="252"/>
      <c r="F44" s="260"/>
      <c r="G44" s="259"/>
      <c r="H44" s="252">
        <v>0.3479</v>
      </c>
      <c r="I44" s="252">
        <f>I153+I195+I246</f>
        <v>0.15209999999999999</v>
      </c>
      <c r="J44" s="260">
        <f>J153+J195+J246</f>
        <v>530.1427812</v>
      </c>
      <c r="K44" s="259">
        <f aca="true" t="shared" si="69" ref="K44:R44">K153</f>
        <v>0.2</v>
      </c>
      <c r="L44" s="252">
        <f t="shared" si="69"/>
        <v>0.2349</v>
      </c>
      <c r="M44" s="252">
        <f t="shared" si="69"/>
        <v>0.20559999999999995</v>
      </c>
      <c r="N44" s="260">
        <f t="shared" si="69"/>
        <v>0.15950000000000014</v>
      </c>
      <c r="O44" s="259">
        <f t="shared" si="69"/>
        <v>0.1638</v>
      </c>
      <c r="P44" s="252">
        <f t="shared" si="69"/>
        <v>0</v>
      </c>
      <c r="Q44" s="252">
        <f t="shared" si="69"/>
        <v>0.5362</v>
      </c>
      <c r="R44" s="260">
        <f t="shared" si="69"/>
        <v>0.2018000000000001</v>
      </c>
      <c r="S44" s="259">
        <f aca="true" t="shared" si="70" ref="S44:X44">S153</f>
        <v>0.2</v>
      </c>
      <c r="T44" s="252">
        <f t="shared" si="70"/>
        <v>0.30460000000000004</v>
      </c>
      <c r="U44" s="252">
        <f t="shared" si="70"/>
        <v>0.34049999999999997</v>
      </c>
      <c r="V44" s="252">
        <f t="shared" si="70"/>
        <v>0.2359</v>
      </c>
      <c r="W44" s="259">
        <f t="shared" si="70"/>
        <v>0.2236</v>
      </c>
      <c r="X44" s="252">
        <f t="shared" si="70"/>
        <v>0.20720000000000002</v>
      </c>
      <c r="Y44" s="252">
        <f aca="true" t="shared" si="71" ref="Y44:AD44">Y153</f>
        <v>0.2691999999999999</v>
      </c>
      <c r="Z44" s="252">
        <f t="shared" si="71"/>
        <v>0.2000000000000001</v>
      </c>
      <c r="AA44" s="259">
        <f t="shared" si="71"/>
        <v>0.2471</v>
      </c>
      <c r="AB44" s="252">
        <f t="shared" si="71"/>
        <v>0.23300000000000004</v>
      </c>
      <c r="AC44" s="252">
        <f t="shared" si="71"/>
        <v>0.2524</v>
      </c>
      <c r="AD44" s="252">
        <f t="shared" si="71"/>
        <v>0.3015</v>
      </c>
      <c r="AE44" s="259">
        <f>AE153</f>
        <v>0.2962</v>
      </c>
      <c r="AF44" s="252">
        <f>AF153</f>
        <v>0.26059999999999994</v>
      </c>
      <c r="AG44" s="252"/>
      <c r="AH44" s="252"/>
      <c r="AI44" s="451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121"/>
      <c r="BM44" s="121"/>
      <c r="BN44" s="121"/>
      <c r="BO44" s="122"/>
      <c r="BP44" s="123"/>
      <c r="BQ44" s="124">
        <v>0</v>
      </c>
      <c r="BR44" s="124">
        <f t="shared" si="66"/>
        <v>0</v>
      </c>
      <c r="BS44" s="125">
        <f t="shared" si="66"/>
        <v>530.7</v>
      </c>
      <c r="BT44" s="123">
        <f t="shared" si="66"/>
        <v>0</v>
      </c>
      <c r="BU44" s="124">
        <f t="shared" si="66"/>
        <v>0</v>
      </c>
      <c r="BV44" s="124"/>
      <c r="BW44" s="125"/>
      <c r="BX44" s="123"/>
      <c r="BY44" s="124"/>
      <c r="BZ44" s="124"/>
      <c r="CA44" s="124"/>
      <c r="CB44" s="123"/>
      <c r="CC44" s="124"/>
      <c r="CD44" s="124"/>
      <c r="CE44" s="124"/>
      <c r="CF44" s="123"/>
      <c r="CG44" s="124"/>
      <c r="CH44" s="124"/>
      <c r="CI44" s="124"/>
      <c r="CJ44" s="123"/>
      <c r="CK44" s="124"/>
      <c r="CL44" s="124"/>
      <c r="CM44" s="407"/>
      <c r="CN44" s="123"/>
      <c r="CO44" s="124"/>
      <c r="CP44" s="124"/>
      <c r="CQ44" s="124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91"/>
      <c r="DU44" s="109"/>
      <c r="DV44" s="109"/>
      <c r="DW44" s="109"/>
      <c r="DX44" s="340"/>
      <c r="DY44" s="341"/>
      <c r="DZ44" s="109"/>
      <c r="EA44" s="109"/>
      <c r="EB44" s="340"/>
      <c r="EC44" s="341"/>
      <c r="ED44" s="109"/>
      <c r="EE44" s="109"/>
      <c r="EF44" s="109"/>
      <c r="EG44" s="341"/>
      <c r="EH44" s="109"/>
      <c r="EI44" s="109"/>
      <c r="EJ44" s="109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451"/>
      <c r="GA44" s="63"/>
      <c r="GB44" s="63"/>
    </row>
    <row r="45" spans="1:184" ht="30.75" hidden="1" outlineLevel="1">
      <c r="A45" s="70" t="s">
        <v>127</v>
      </c>
      <c r="B45" s="70" t="s">
        <v>130</v>
      </c>
      <c r="C45" s="254">
        <v>182.6963661</v>
      </c>
      <c r="D45" s="254">
        <v>218.45339389999995</v>
      </c>
      <c r="E45" s="254">
        <v>218.04174289999997</v>
      </c>
      <c r="F45" s="255">
        <v>224.77253310000003</v>
      </c>
      <c r="G45" s="253">
        <v>237.2</v>
      </c>
      <c r="H45" s="254">
        <v>250.15570510000003</v>
      </c>
      <c r="I45" s="254">
        <f>SUM(I46:I51)</f>
        <v>204.5169899</v>
      </c>
      <c r="J45" s="255">
        <f>SUM(J46:J51)</f>
        <v>204.75708319999998</v>
      </c>
      <c r="K45" s="253">
        <f>SUM(K46:K51)</f>
        <v>170.82088</v>
      </c>
      <c r="L45" s="254">
        <f aca="true" t="shared" si="72" ref="L45:AF45">L154+L196+L247</f>
        <v>211.4272441</v>
      </c>
      <c r="M45" s="254">
        <f t="shared" si="72"/>
        <v>220.60248919999998</v>
      </c>
      <c r="N45" s="255">
        <f t="shared" si="72"/>
        <v>218.6037222</v>
      </c>
      <c r="O45" s="253">
        <f t="shared" si="72"/>
        <v>191.7941391</v>
      </c>
      <c r="P45" s="254">
        <f t="shared" si="72"/>
        <v>206.9954899</v>
      </c>
      <c r="Q45" s="254">
        <f t="shared" si="72"/>
        <v>176.07935599999996</v>
      </c>
      <c r="R45" s="254">
        <f t="shared" si="72"/>
        <v>167.6722291</v>
      </c>
      <c r="S45" s="253">
        <f t="shared" si="72"/>
        <v>161.9</v>
      </c>
      <c r="T45" s="254">
        <f t="shared" si="72"/>
        <v>179.69</v>
      </c>
      <c r="U45" s="254">
        <f t="shared" si="72"/>
        <v>163.56670100000002</v>
      </c>
      <c r="V45" s="254">
        <f t="shared" si="72"/>
        <v>165.82186909999996</v>
      </c>
      <c r="W45" s="253">
        <f t="shared" si="72"/>
        <v>193.0383649</v>
      </c>
      <c r="X45" s="254">
        <f t="shared" si="72"/>
        <v>208.90224010000003</v>
      </c>
      <c r="Y45" s="254">
        <f t="shared" si="72"/>
        <v>208.35939499999998</v>
      </c>
      <c r="Z45" s="254">
        <f t="shared" si="72"/>
        <v>198</v>
      </c>
      <c r="AA45" s="253">
        <f t="shared" si="72"/>
        <v>186.1302449</v>
      </c>
      <c r="AB45" s="254">
        <f t="shared" si="72"/>
        <v>207.08765999999986</v>
      </c>
      <c r="AC45" s="254">
        <f t="shared" si="72"/>
        <v>203.94384110000016</v>
      </c>
      <c r="AD45" s="254">
        <f t="shared" si="72"/>
        <v>242.79194129999613</v>
      </c>
      <c r="AE45" s="253">
        <f t="shared" si="72"/>
        <v>191.14885139999998</v>
      </c>
      <c r="AF45" s="254">
        <f t="shared" si="72"/>
        <v>197.5844352</v>
      </c>
      <c r="AG45" s="254"/>
      <c r="AH45" s="254"/>
      <c r="AI45" s="449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86">
        <v>151.55161609999996</v>
      </c>
      <c r="BM45" s="86">
        <v>194.39999989999998</v>
      </c>
      <c r="BN45" s="86">
        <v>212.41538419999995</v>
      </c>
      <c r="BO45" s="87">
        <v>169.30966630000012</v>
      </c>
      <c r="BP45" s="88">
        <f aca="true" t="shared" si="73" ref="BP45:BV45">SUM(BP46:BP51)</f>
        <v>152.2</v>
      </c>
      <c r="BQ45" s="89">
        <f t="shared" si="73"/>
        <v>188.83329900000004</v>
      </c>
      <c r="BR45" s="89">
        <f t="shared" si="73"/>
        <v>205.16670099999996</v>
      </c>
      <c r="BS45" s="90">
        <f t="shared" si="73"/>
        <v>201.8</v>
      </c>
      <c r="BT45" s="88">
        <f t="shared" si="73"/>
        <v>170.52087999999998</v>
      </c>
      <c r="BU45" s="89">
        <f t="shared" si="73"/>
        <v>213.607995</v>
      </c>
      <c r="BV45" s="89">
        <f t="shared" si="73"/>
        <v>220.571125</v>
      </c>
      <c r="BW45" s="90">
        <f aca="true" t="shared" si="74" ref="BW45:CE45">SUM(BW46:BW51)</f>
        <v>218.81799999999998</v>
      </c>
      <c r="BX45" s="88">
        <f t="shared" si="74"/>
        <v>185.917</v>
      </c>
      <c r="BY45" s="89">
        <f t="shared" si="74"/>
        <v>212.38171179999998</v>
      </c>
      <c r="BZ45" s="89">
        <f t="shared" si="74"/>
        <v>165.44228820000004</v>
      </c>
      <c r="CA45" s="89">
        <f t="shared" si="74"/>
        <v>176.72337118000002</v>
      </c>
      <c r="CB45" s="88">
        <f t="shared" si="74"/>
        <v>156.1</v>
      </c>
      <c r="CC45" s="89">
        <f t="shared" si="74"/>
        <v>179.34199999999998</v>
      </c>
      <c r="CD45" s="89">
        <f t="shared" si="74"/>
        <v>168.57714796000005</v>
      </c>
      <c r="CE45" s="89">
        <f t="shared" si="74"/>
        <v>165.08637903999997</v>
      </c>
      <c r="CF45" s="88">
        <f aca="true" t="shared" si="75" ref="CF45:CK45">SUM(CF46:CF51)</f>
        <v>195.7178831</v>
      </c>
      <c r="CG45" s="89">
        <f t="shared" si="75"/>
        <v>209.73348140000002</v>
      </c>
      <c r="CH45" s="89">
        <f t="shared" si="75"/>
        <v>206.5486355</v>
      </c>
      <c r="CI45" s="89">
        <f t="shared" si="75"/>
        <v>191.70000000000002</v>
      </c>
      <c r="CJ45" s="88">
        <f t="shared" si="75"/>
        <v>191.34036659999998</v>
      </c>
      <c r="CK45" s="89">
        <f t="shared" si="75"/>
        <v>211.18459869999992</v>
      </c>
      <c r="CL45" s="89">
        <f>SUM(CL46:CL51)</f>
        <v>197.7776780000001</v>
      </c>
      <c r="CM45" s="404">
        <f>SUM(CM46:CM51)</f>
        <v>247.89557509999605</v>
      </c>
      <c r="CN45" s="88">
        <f>SUM(CN46:CN51)</f>
        <v>181.54589140000002</v>
      </c>
      <c r="CO45" s="89">
        <f>SUM(CO46:CO51)</f>
        <v>179.08847830000002</v>
      </c>
      <c r="CP45" s="89"/>
      <c r="CQ45" s="89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91"/>
      <c r="DU45" s="92">
        <f aca="true" t="shared" si="76" ref="DU45:EH45">DU46+DU47+DU48+DU49+DU51</f>
        <v>170.2</v>
      </c>
      <c r="DV45" s="92">
        <f t="shared" si="76"/>
        <v>177.20000000000005</v>
      </c>
      <c r="DW45" s="92">
        <f t="shared" si="76"/>
        <v>191.39999999999995</v>
      </c>
      <c r="DX45" s="338">
        <f t="shared" si="76"/>
        <v>168.10000000000002</v>
      </c>
      <c r="DY45" s="339">
        <f t="shared" si="76"/>
        <v>195.63095710000005</v>
      </c>
      <c r="DZ45" s="92">
        <f t="shared" si="76"/>
        <v>208.4948073999998</v>
      </c>
      <c r="EA45" s="92">
        <f t="shared" si="76"/>
        <v>194.63526059999958</v>
      </c>
      <c r="EB45" s="338">
        <f>EB46+EB47+EB48+EB49+EB51</f>
        <v>182.8389749000006</v>
      </c>
      <c r="EC45" s="339">
        <f t="shared" si="76"/>
        <v>194.97653260000013</v>
      </c>
      <c r="ED45" s="92">
        <f t="shared" si="76"/>
        <v>188.56609669999978</v>
      </c>
      <c r="EE45" s="92">
        <f t="shared" si="76"/>
        <v>189.34341399999974</v>
      </c>
      <c r="EF45" s="92">
        <f t="shared" si="76"/>
        <v>254.56202609999755</v>
      </c>
      <c r="EG45" s="339">
        <f>EG46+EG47+EG48+EG49+EG51</f>
        <v>178.59358340000014</v>
      </c>
      <c r="EH45" s="92">
        <f t="shared" si="76"/>
        <v>188.10576229999995</v>
      </c>
      <c r="EI45" s="92"/>
      <c r="EJ45" s="9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3"/>
      <c r="FN45" s="93">
        <f aca="true" t="shared" si="77" ref="FN45:FU45">FN46+FN47+FN48+FN49+FN51</f>
        <v>347.4000000000001</v>
      </c>
      <c r="FO45" s="93">
        <f t="shared" si="77"/>
        <v>538.8</v>
      </c>
      <c r="FP45" s="93">
        <f t="shared" si="77"/>
        <v>706.8</v>
      </c>
      <c r="FQ45" s="93">
        <f t="shared" si="77"/>
        <v>404.1257644999998</v>
      </c>
      <c r="FR45" s="93">
        <f t="shared" si="77"/>
        <v>598.7610250999994</v>
      </c>
      <c r="FS45" s="93">
        <f t="shared" si="77"/>
        <v>781.6</v>
      </c>
      <c r="FT45" s="93">
        <f t="shared" si="77"/>
        <v>383.54262929999993</v>
      </c>
      <c r="FU45" s="93">
        <f t="shared" si="77"/>
        <v>572.8860432999996</v>
      </c>
      <c r="FV45" s="93">
        <f>FV46+FV47+FV48+FV49+FV51</f>
        <v>827.4480693999973</v>
      </c>
      <c r="FW45" s="93">
        <f>FW46+FW47+FW48+FW49+FW51</f>
        <v>366.6993457000001</v>
      </c>
      <c r="FX45" s="93"/>
      <c r="FY45" s="93"/>
      <c r="FZ45" s="449"/>
      <c r="GA45" s="62"/>
      <c r="GB45" s="62"/>
    </row>
    <row r="46" spans="1:184" ht="15.75" customHeight="1" hidden="1" outlineLevel="1">
      <c r="A46" s="130" t="s">
        <v>131</v>
      </c>
      <c r="B46" s="131" t="s">
        <v>82</v>
      </c>
      <c r="C46" s="252">
        <v>50.35326</v>
      </c>
      <c r="D46" s="252">
        <v>47.777499999999996</v>
      </c>
      <c r="E46" s="252">
        <v>45.04109000000001</v>
      </c>
      <c r="F46" s="260">
        <v>33.44205500000001</v>
      </c>
      <c r="G46" s="259">
        <v>45.1</v>
      </c>
      <c r="H46" s="252">
        <v>48.99433</v>
      </c>
      <c r="I46" s="252">
        <f>I156+I197+I248</f>
        <v>38.305669999999985</v>
      </c>
      <c r="J46" s="260">
        <f>J156+J197</f>
        <v>48.14229</v>
      </c>
      <c r="K46" s="259">
        <f>K156+K197</f>
        <v>48.3</v>
      </c>
      <c r="L46" s="252">
        <f aca="true" t="shared" si="78" ref="L46:AF46">L156+L197+L248</f>
        <v>65.86603500000001</v>
      </c>
      <c r="M46" s="252">
        <f t="shared" si="78"/>
        <v>52.83396499999998</v>
      </c>
      <c r="N46" s="260">
        <f t="shared" si="78"/>
        <v>80.64100900000001</v>
      </c>
      <c r="O46" s="259">
        <f t="shared" si="78"/>
        <v>63.16951</v>
      </c>
      <c r="P46" s="252">
        <f t="shared" si="78"/>
        <v>65.121235</v>
      </c>
      <c r="Q46" s="252">
        <f t="shared" si="78"/>
        <v>54.378239999999984</v>
      </c>
      <c r="R46" s="252">
        <f t="shared" si="78"/>
        <v>59.21101500000002</v>
      </c>
      <c r="S46" s="259">
        <f t="shared" si="78"/>
        <v>60.3</v>
      </c>
      <c r="T46" s="252">
        <f t="shared" si="78"/>
        <v>57.789</v>
      </c>
      <c r="U46" s="252">
        <f t="shared" si="78"/>
        <v>55.180209999999995</v>
      </c>
      <c r="V46" s="252">
        <f t="shared" si="78"/>
        <v>53.66819</v>
      </c>
      <c r="W46" s="259">
        <f t="shared" si="78"/>
        <v>53.447449999999996</v>
      </c>
      <c r="X46" s="252">
        <f t="shared" si="78"/>
        <v>47.743325</v>
      </c>
      <c r="Y46" s="252">
        <f t="shared" si="78"/>
        <v>56.209225</v>
      </c>
      <c r="Z46" s="252">
        <f t="shared" si="78"/>
        <v>72.8</v>
      </c>
      <c r="AA46" s="259">
        <f t="shared" si="78"/>
        <v>47.468734999999995</v>
      </c>
      <c r="AB46" s="252">
        <f t="shared" si="78"/>
        <v>86.57318</v>
      </c>
      <c r="AC46" s="252">
        <f t="shared" si="78"/>
        <v>54.579135</v>
      </c>
      <c r="AD46" s="252">
        <f t="shared" si="78"/>
        <v>77.31104500000004</v>
      </c>
      <c r="AE46" s="259">
        <f t="shared" si="78"/>
        <v>41.336545</v>
      </c>
      <c r="AF46" s="252">
        <f t="shared" si="78"/>
        <v>67.494535</v>
      </c>
      <c r="AG46" s="252"/>
      <c r="AH46" s="252"/>
      <c r="AI46" s="451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121">
        <v>53.66786</v>
      </c>
      <c r="BM46" s="121">
        <v>45.5529</v>
      </c>
      <c r="BN46" s="121">
        <v>44.22494999999999</v>
      </c>
      <c r="BO46" s="122">
        <v>36.842195000000004</v>
      </c>
      <c r="BP46" s="123">
        <v>44.5</v>
      </c>
      <c r="BQ46" s="124">
        <v>48.17468000000001</v>
      </c>
      <c r="BR46" s="124">
        <f>BR156+BR197+BR248</f>
        <v>40.22531999999998</v>
      </c>
      <c r="BS46" s="125">
        <f aca="true" t="shared" si="79" ref="BS46:CO46">BS156+BS197</f>
        <v>47.70000000000002</v>
      </c>
      <c r="BT46" s="123">
        <f t="shared" si="79"/>
        <v>47.6</v>
      </c>
      <c r="BU46" s="124">
        <f t="shared" si="79"/>
        <v>67.020875</v>
      </c>
      <c r="BV46" s="124">
        <f t="shared" si="79"/>
        <v>52.779124999999986</v>
      </c>
      <c r="BW46" s="125">
        <f t="shared" si="79"/>
        <v>80.06800000000001</v>
      </c>
      <c r="BX46" s="123">
        <f t="shared" si="79"/>
        <v>61.1</v>
      </c>
      <c r="BY46" s="124">
        <f t="shared" si="79"/>
        <v>66.993745</v>
      </c>
      <c r="BZ46" s="124">
        <f t="shared" si="79"/>
        <v>47.10625500000002</v>
      </c>
      <c r="CA46" s="124">
        <f t="shared" si="79"/>
        <v>66.427505</v>
      </c>
      <c r="CB46" s="123">
        <f t="shared" si="79"/>
        <v>51.9</v>
      </c>
      <c r="CC46" s="124">
        <f t="shared" si="79"/>
        <v>58.3</v>
      </c>
      <c r="CD46" s="124">
        <f t="shared" si="79"/>
        <v>61.417570000000026</v>
      </c>
      <c r="CE46" s="124">
        <f t="shared" si="79"/>
        <v>52.41603499999998</v>
      </c>
      <c r="CF46" s="123">
        <f t="shared" si="79"/>
        <v>57.13995</v>
      </c>
      <c r="CG46" s="124">
        <f t="shared" si="79"/>
        <v>47.743325000000006</v>
      </c>
      <c r="CH46" s="124">
        <f t="shared" si="79"/>
        <v>56.216725000000004</v>
      </c>
      <c r="CI46" s="124">
        <f t="shared" si="79"/>
        <v>66.8</v>
      </c>
      <c r="CJ46" s="123">
        <f t="shared" si="79"/>
        <v>51.774735</v>
      </c>
      <c r="CK46" s="124">
        <f t="shared" si="79"/>
        <v>87.84943</v>
      </c>
      <c r="CL46" s="124">
        <f t="shared" si="79"/>
        <v>50.68134499999999</v>
      </c>
      <c r="CM46" s="407">
        <f t="shared" si="79"/>
        <v>79.57659000000001</v>
      </c>
      <c r="CN46" s="123">
        <f t="shared" si="79"/>
        <v>43.352545000000006</v>
      </c>
      <c r="CO46" s="124">
        <f t="shared" si="79"/>
        <v>62.551334999999995</v>
      </c>
      <c r="CP46" s="124"/>
      <c r="CQ46" s="124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91"/>
      <c r="DU46" s="109">
        <v>69.3</v>
      </c>
      <c r="DV46" s="109">
        <v>66.00000000000001</v>
      </c>
      <c r="DW46" s="109">
        <v>70.29999999999998</v>
      </c>
      <c r="DX46" s="340">
        <v>56.70000000000002</v>
      </c>
      <c r="DY46" s="341">
        <v>55.5337</v>
      </c>
      <c r="DZ46" s="109">
        <f>FQ46-DY46</f>
        <v>47.905075000000004</v>
      </c>
      <c r="EA46" s="109">
        <f aca="true" t="shared" si="80" ref="EA46:EB49">FR46-FQ46</f>
        <v>44.215129999999945</v>
      </c>
      <c r="EB46" s="340">
        <f t="shared" si="80"/>
        <v>60.04609500000004</v>
      </c>
      <c r="EC46" s="341">
        <v>52.629985</v>
      </c>
      <c r="ED46" s="109">
        <f>FT46-EC46</f>
        <v>65.33186</v>
      </c>
      <c r="EE46" s="109">
        <f>FU46-EC46-ED46</f>
        <v>42.995344999999986</v>
      </c>
      <c r="EF46" s="109">
        <f>FV46-EE46-ED46-EC46</f>
        <v>88.20213500000003</v>
      </c>
      <c r="EG46" s="341">
        <v>40.400544999999994</v>
      </c>
      <c r="EH46" s="109">
        <f>FW46-EG46</f>
        <v>71.568835</v>
      </c>
      <c r="EI46" s="109"/>
      <c r="EJ46" s="109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110">
        <v>135.3</v>
      </c>
      <c r="FO46" s="110">
        <v>205.6</v>
      </c>
      <c r="FP46" s="110">
        <v>262.3</v>
      </c>
      <c r="FQ46" s="110">
        <v>103.438775</v>
      </c>
      <c r="FR46" s="110">
        <v>147.65390499999995</v>
      </c>
      <c r="FS46" s="110">
        <v>207.7</v>
      </c>
      <c r="FT46" s="110">
        <v>117.96184500000001</v>
      </c>
      <c r="FU46" s="110">
        <v>160.95719</v>
      </c>
      <c r="FV46" s="110">
        <v>249.15932500000002</v>
      </c>
      <c r="FW46" s="110">
        <v>111.96938</v>
      </c>
      <c r="FX46" s="110"/>
      <c r="FY46" s="110"/>
      <c r="FZ46" s="451"/>
      <c r="GA46" s="63"/>
      <c r="GB46" s="63"/>
    </row>
    <row r="47" spans="1:184" ht="15" hidden="1" outlineLevel="1">
      <c r="A47" s="116" t="s">
        <v>83</v>
      </c>
      <c r="B47" s="117" t="s">
        <v>19</v>
      </c>
      <c r="C47" s="252">
        <v>108.648</v>
      </c>
      <c r="D47" s="252">
        <v>134.73000000000002</v>
      </c>
      <c r="E47" s="252">
        <v>128.4462</v>
      </c>
      <c r="F47" s="260">
        <v>155.45420000000001</v>
      </c>
      <c r="G47" s="259">
        <v>141.3</v>
      </c>
      <c r="H47" s="252">
        <v>148.09390000000002</v>
      </c>
      <c r="I47" s="252">
        <f>I159+I198+I249</f>
        <v>110.378795</v>
      </c>
      <c r="J47" s="260">
        <f>J159+J198</f>
        <v>103.1</v>
      </c>
      <c r="K47" s="259">
        <f>K159+K198</f>
        <v>68.22088</v>
      </c>
      <c r="L47" s="252">
        <f aca="true" t="shared" si="81" ref="L47:AF47">L159+L198+L249</f>
        <v>97.67912</v>
      </c>
      <c r="M47" s="252">
        <f t="shared" si="81"/>
        <v>111.18299999999999</v>
      </c>
      <c r="N47" s="260">
        <f t="shared" si="81"/>
        <v>87.70999999999998</v>
      </c>
      <c r="O47" s="259">
        <f t="shared" si="81"/>
        <v>78.52</v>
      </c>
      <c r="P47" s="252">
        <f t="shared" si="81"/>
        <v>84.10685000000001</v>
      </c>
      <c r="Q47" s="252">
        <f t="shared" si="81"/>
        <v>72.17314999999999</v>
      </c>
      <c r="R47" s="252">
        <f t="shared" si="81"/>
        <v>69.29999999999998</v>
      </c>
      <c r="S47" s="259">
        <f t="shared" si="81"/>
        <v>52</v>
      </c>
      <c r="T47" s="252">
        <f t="shared" si="81"/>
        <v>69.842</v>
      </c>
      <c r="U47" s="252">
        <f t="shared" si="81"/>
        <v>64.77440000000001</v>
      </c>
      <c r="V47" s="252">
        <f t="shared" si="81"/>
        <v>65.89955499999998</v>
      </c>
      <c r="W47" s="259">
        <f t="shared" si="81"/>
        <v>86.21545</v>
      </c>
      <c r="X47" s="252">
        <f t="shared" si="81"/>
        <v>100.68031000000002</v>
      </c>
      <c r="Y47" s="252">
        <f t="shared" si="81"/>
        <v>96.90423999999997</v>
      </c>
      <c r="Z47" s="252">
        <f t="shared" si="81"/>
        <v>99.10000000000002</v>
      </c>
      <c r="AA47" s="259">
        <f t="shared" si="81"/>
        <v>94.18588</v>
      </c>
      <c r="AB47" s="252">
        <f t="shared" si="81"/>
        <v>90.58385999999986</v>
      </c>
      <c r="AC47" s="252">
        <f t="shared" si="81"/>
        <v>98.03171000000015</v>
      </c>
      <c r="AD47" s="252">
        <f t="shared" si="81"/>
        <v>121.72304999999605</v>
      </c>
      <c r="AE47" s="259">
        <f t="shared" si="81"/>
        <v>110.41359</v>
      </c>
      <c r="AF47" s="252">
        <f t="shared" si="81"/>
        <v>90.79315</v>
      </c>
      <c r="AG47" s="252"/>
      <c r="AH47" s="252"/>
      <c r="AI47" s="451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121">
        <v>75.98337599999999</v>
      </c>
      <c r="BM47" s="121">
        <v>112.712954</v>
      </c>
      <c r="BN47" s="121">
        <v>124.12847999999997</v>
      </c>
      <c r="BO47" s="122">
        <v>96.41129000000001</v>
      </c>
      <c r="BP47" s="123">
        <v>55.6</v>
      </c>
      <c r="BQ47" s="124">
        <v>87.44136500000002</v>
      </c>
      <c r="BR47" s="124">
        <f>BR159+BR198+BR249</f>
        <v>110.35863499999999</v>
      </c>
      <c r="BS47" s="125">
        <f aca="true" t="shared" si="82" ref="BS47:CO47">BS159+BS198</f>
        <v>103.1</v>
      </c>
      <c r="BT47" s="123">
        <f t="shared" si="82"/>
        <v>68.22088</v>
      </c>
      <c r="BU47" s="124">
        <f t="shared" si="82"/>
        <v>97.67912</v>
      </c>
      <c r="BV47" s="124">
        <f t="shared" si="82"/>
        <v>111.19999999999999</v>
      </c>
      <c r="BW47" s="125">
        <f t="shared" si="82"/>
        <v>87.69299999999998</v>
      </c>
      <c r="BX47" s="123">
        <f t="shared" si="82"/>
        <v>78.61999999999999</v>
      </c>
      <c r="BY47" s="124">
        <f t="shared" si="82"/>
        <v>83.99414999999999</v>
      </c>
      <c r="BZ47" s="124">
        <f t="shared" si="82"/>
        <v>72.18585000000002</v>
      </c>
      <c r="CA47" s="124">
        <f t="shared" si="82"/>
        <v>69.29999999999998</v>
      </c>
      <c r="CB47" s="123">
        <f t="shared" si="82"/>
        <v>52</v>
      </c>
      <c r="CC47" s="124">
        <f t="shared" si="82"/>
        <v>69.842</v>
      </c>
      <c r="CD47" s="124">
        <f t="shared" si="82"/>
        <v>64.77440000000001</v>
      </c>
      <c r="CE47" s="124">
        <f t="shared" si="82"/>
        <v>65.87911499999998</v>
      </c>
      <c r="CF47" s="123">
        <f t="shared" si="82"/>
        <v>86.21545</v>
      </c>
      <c r="CG47" s="124">
        <f t="shared" si="82"/>
        <v>100.68031000000002</v>
      </c>
      <c r="CH47" s="124">
        <f t="shared" si="82"/>
        <v>96.90423999999997</v>
      </c>
      <c r="CI47" s="124">
        <f t="shared" si="82"/>
        <v>99.10000000000002</v>
      </c>
      <c r="CJ47" s="123">
        <f t="shared" si="82"/>
        <v>94.18588</v>
      </c>
      <c r="CK47" s="124">
        <f t="shared" si="82"/>
        <v>90.58385999999986</v>
      </c>
      <c r="CL47" s="124">
        <f t="shared" si="82"/>
        <v>98.03171000000015</v>
      </c>
      <c r="CM47" s="407">
        <f t="shared" si="82"/>
        <v>121.72304999999605</v>
      </c>
      <c r="CN47" s="123">
        <f t="shared" si="82"/>
        <v>110.41359</v>
      </c>
      <c r="CO47" s="124">
        <f t="shared" si="82"/>
        <v>90.79315</v>
      </c>
      <c r="CP47" s="124"/>
      <c r="CQ47" s="124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91"/>
      <c r="DU47" s="109">
        <v>52</v>
      </c>
      <c r="DV47" s="109">
        <v>69.9</v>
      </c>
      <c r="DW47" s="109">
        <v>64.69999999999999</v>
      </c>
      <c r="DX47" s="340">
        <v>66</v>
      </c>
      <c r="DY47" s="341">
        <v>86.21545</v>
      </c>
      <c r="DZ47" s="109">
        <f>FQ47-DY47</f>
        <v>100.68030999999979</v>
      </c>
      <c r="EA47" s="109">
        <f t="shared" si="80"/>
        <v>96.93801999999963</v>
      </c>
      <c r="EB47" s="340">
        <f t="shared" si="80"/>
        <v>99.16622000000058</v>
      </c>
      <c r="EC47" s="341">
        <v>94.18588000000011</v>
      </c>
      <c r="ED47" s="109">
        <f>FT47-EC47</f>
        <v>90.58385999999973</v>
      </c>
      <c r="EE47" s="109">
        <f>FU47-EC47-ED47</f>
        <v>97.98238999999973</v>
      </c>
      <c r="EF47" s="109">
        <f>FV47-EE47-ED47-EC47</f>
        <v>121.79315999999756</v>
      </c>
      <c r="EG47" s="341">
        <v>110.41359000000014</v>
      </c>
      <c r="EH47" s="109">
        <f>FW47-EG47</f>
        <v>90.79314999999994</v>
      </c>
      <c r="EI47" s="109"/>
      <c r="EJ47" s="109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110">
        <v>121.9</v>
      </c>
      <c r="FO47" s="110">
        <v>186.6</v>
      </c>
      <c r="FP47" s="110">
        <v>252.5</v>
      </c>
      <c r="FQ47" s="110">
        <v>186.8957599999998</v>
      </c>
      <c r="FR47" s="110">
        <v>283.8337799999994</v>
      </c>
      <c r="FS47" s="110">
        <v>383</v>
      </c>
      <c r="FT47" s="110">
        <v>184.76973999999984</v>
      </c>
      <c r="FU47" s="110">
        <v>282.75212999999957</v>
      </c>
      <c r="FV47" s="110">
        <v>404.5452899999971</v>
      </c>
      <c r="FW47" s="110">
        <v>201.20674000000008</v>
      </c>
      <c r="FX47" s="110"/>
      <c r="FY47" s="110"/>
      <c r="FZ47" s="451"/>
      <c r="GA47" s="63"/>
      <c r="GB47" s="63"/>
    </row>
    <row r="48" spans="1:184" ht="15" hidden="1" outlineLevel="1">
      <c r="A48" s="116" t="s">
        <v>84</v>
      </c>
      <c r="B48" s="117" t="s">
        <v>85</v>
      </c>
      <c r="C48" s="252">
        <v>7.123106</v>
      </c>
      <c r="D48" s="252">
        <v>10.970894000000001</v>
      </c>
      <c r="E48" s="252">
        <v>12.848150999999998</v>
      </c>
      <c r="F48" s="260">
        <v>10.308817999999999</v>
      </c>
      <c r="G48" s="259">
        <v>8.1</v>
      </c>
      <c r="H48" s="252">
        <v>14.151225000000002</v>
      </c>
      <c r="I48" s="252">
        <f>I160+I199+I250</f>
        <v>12.148775</v>
      </c>
      <c r="J48" s="260">
        <f>J160+J199</f>
        <v>12.136876999999998</v>
      </c>
      <c r="K48" s="259">
        <f>K160+K199</f>
        <v>10.2</v>
      </c>
      <c r="L48" s="252">
        <f aca="true" t="shared" si="83" ref="L48:AF48">L160+L199+L250</f>
        <v>16.757959</v>
      </c>
      <c r="M48" s="252">
        <f t="shared" si="83"/>
        <v>14.87979</v>
      </c>
      <c r="N48" s="260">
        <f t="shared" si="83"/>
        <v>13.908877000000004</v>
      </c>
      <c r="O48" s="259">
        <f t="shared" si="83"/>
        <v>12.436399</v>
      </c>
      <c r="P48" s="252">
        <f t="shared" si="83"/>
        <v>17.686351000000002</v>
      </c>
      <c r="Q48" s="252">
        <f t="shared" si="83"/>
        <v>11.477250000000002</v>
      </c>
      <c r="R48" s="252">
        <f t="shared" si="83"/>
        <v>14.079869999999996</v>
      </c>
      <c r="S48" s="259">
        <f t="shared" si="83"/>
        <v>11.4</v>
      </c>
      <c r="T48" s="252">
        <f t="shared" si="83"/>
        <v>16.863999999999997</v>
      </c>
      <c r="U48" s="252">
        <f t="shared" si="83"/>
        <v>15.155967000000002</v>
      </c>
      <c r="V48" s="252">
        <f t="shared" si="83"/>
        <v>12.420432999999997</v>
      </c>
      <c r="W48" s="259">
        <f t="shared" si="83"/>
        <v>10.732662999999999</v>
      </c>
      <c r="X48" s="252">
        <f t="shared" si="83"/>
        <v>16.532327</v>
      </c>
      <c r="Y48" s="252">
        <f t="shared" si="83"/>
        <v>12.935009999999998</v>
      </c>
      <c r="Z48" s="252">
        <f t="shared" si="83"/>
        <v>12.399999999999999</v>
      </c>
      <c r="AA48" s="259">
        <f t="shared" si="83"/>
        <v>11.006748</v>
      </c>
      <c r="AB48" s="252">
        <f t="shared" si="83"/>
        <v>15.917992</v>
      </c>
      <c r="AC48" s="252">
        <f t="shared" si="83"/>
        <v>16.015027999999997</v>
      </c>
      <c r="AD48" s="252">
        <f t="shared" si="83"/>
        <v>13.654502999999998</v>
      </c>
      <c r="AE48" s="259">
        <f t="shared" si="83"/>
        <v>11.513174</v>
      </c>
      <c r="AF48" s="252">
        <f t="shared" si="83"/>
        <v>14.956795</v>
      </c>
      <c r="AG48" s="252"/>
      <c r="AH48" s="252"/>
      <c r="AI48" s="451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121">
        <v>7.415732</v>
      </c>
      <c r="BM48" s="121">
        <v>10.875721</v>
      </c>
      <c r="BN48" s="121">
        <v>12.72439</v>
      </c>
      <c r="BO48" s="122">
        <v>10.253622000000004</v>
      </c>
      <c r="BP48" s="123">
        <v>8.399999999999999</v>
      </c>
      <c r="BQ48" s="124">
        <v>14.210968000000001</v>
      </c>
      <c r="BR48" s="124">
        <f>BR160+BR199+BR250</f>
        <v>12.089032</v>
      </c>
      <c r="BS48" s="125">
        <f aca="true" t="shared" si="84" ref="BS48:CO48">BS160+BS199</f>
        <v>11.900000000000002</v>
      </c>
      <c r="BT48" s="123">
        <f t="shared" si="84"/>
        <v>10.6</v>
      </c>
      <c r="BU48" s="124">
        <f t="shared" si="84"/>
        <v>16.7</v>
      </c>
      <c r="BV48" s="124">
        <f t="shared" si="84"/>
        <v>14.900000000000002</v>
      </c>
      <c r="BW48" s="125">
        <f t="shared" si="84"/>
        <v>13.772999999999994</v>
      </c>
      <c r="BX48" s="123">
        <f t="shared" si="84"/>
        <v>12.4</v>
      </c>
      <c r="BY48" s="124">
        <f t="shared" si="84"/>
        <v>17.342501999999996</v>
      </c>
      <c r="BZ48" s="124">
        <f t="shared" si="84"/>
        <v>11.857498000000001</v>
      </c>
      <c r="CA48" s="124">
        <f t="shared" si="84"/>
        <v>14.183569999999998</v>
      </c>
      <c r="CB48" s="123">
        <f t="shared" si="84"/>
        <v>11.5</v>
      </c>
      <c r="CC48" s="124">
        <f t="shared" si="84"/>
        <v>17</v>
      </c>
      <c r="CD48" s="124">
        <f t="shared" si="84"/>
        <v>14.813853</v>
      </c>
      <c r="CE48" s="124">
        <f t="shared" si="84"/>
        <v>12.318161999999994</v>
      </c>
      <c r="CF48" s="123">
        <f t="shared" si="84"/>
        <v>10.906874</v>
      </c>
      <c r="CG48" s="124">
        <f t="shared" si="84"/>
        <v>16.495135</v>
      </c>
      <c r="CH48" s="124">
        <f t="shared" si="84"/>
        <v>13.197991</v>
      </c>
      <c r="CI48" s="124">
        <f t="shared" si="84"/>
        <v>11.999999999999998</v>
      </c>
      <c r="CJ48" s="123">
        <f t="shared" si="84"/>
        <v>11.252762</v>
      </c>
      <c r="CK48" s="124">
        <f t="shared" si="84"/>
        <v>16.095588000000035</v>
      </c>
      <c r="CL48" s="124">
        <f t="shared" si="84"/>
        <v>15.70513799999996</v>
      </c>
      <c r="CM48" s="407">
        <f t="shared" si="84"/>
        <v>13.689257999999985</v>
      </c>
      <c r="CN48" s="123">
        <f t="shared" si="84"/>
        <v>11.461332</v>
      </c>
      <c r="CO48" s="124">
        <f t="shared" si="84"/>
        <v>15.060530000000004</v>
      </c>
      <c r="CP48" s="124"/>
      <c r="CQ48" s="124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91"/>
      <c r="DU48" s="109">
        <v>11.6</v>
      </c>
      <c r="DV48" s="109">
        <v>16.9</v>
      </c>
      <c r="DW48" s="109">
        <v>14.799999999999997</v>
      </c>
      <c r="DX48" s="340">
        <v>12.300000000000004</v>
      </c>
      <c r="DY48" s="341">
        <v>10.906030000000001</v>
      </c>
      <c r="DZ48" s="109">
        <f>FQ48-DY48</f>
        <v>16.494249</v>
      </c>
      <c r="EA48" s="109">
        <f t="shared" si="80"/>
        <v>13.139152999999997</v>
      </c>
      <c r="EB48" s="340">
        <f t="shared" si="80"/>
        <v>11.760568</v>
      </c>
      <c r="EC48" s="341">
        <v>11.252038</v>
      </c>
      <c r="ED48" s="109">
        <f>FT48-EC48</f>
        <v>16.094276000000036</v>
      </c>
      <c r="EE48" s="109">
        <f>FU48-EC48-ED48</f>
        <v>15.679934000000024</v>
      </c>
      <c r="EF48" s="109">
        <f>FV48-EE48-ED48-EC48</f>
        <v>13.697013999999987</v>
      </c>
      <c r="EG48" s="341">
        <v>11.460904</v>
      </c>
      <c r="EH48" s="109">
        <f>FW48-EG48</f>
        <v>15.060933999999992</v>
      </c>
      <c r="EI48" s="109"/>
      <c r="EJ48" s="109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110">
        <v>28.5</v>
      </c>
      <c r="FO48" s="110">
        <v>43.3</v>
      </c>
      <c r="FP48" s="110">
        <v>55.6</v>
      </c>
      <c r="FQ48" s="110">
        <v>27.400279</v>
      </c>
      <c r="FR48" s="110">
        <v>40.539432</v>
      </c>
      <c r="FS48" s="110">
        <v>52.3</v>
      </c>
      <c r="FT48" s="110">
        <v>27.34631400000004</v>
      </c>
      <c r="FU48" s="110">
        <v>43.02624800000006</v>
      </c>
      <c r="FV48" s="110">
        <v>56.72326200000005</v>
      </c>
      <c r="FW48" s="110">
        <v>26.521837999999992</v>
      </c>
      <c r="FX48" s="110"/>
      <c r="FY48" s="110"/>
      <c r="FZ48" s="451"/>
      <c r="GA48" s="63"/>
      <c r="GB48" s="63"/>
    </row>
    <row r="49" spans="1:184" ht="15" hidden="1" outlineLevel="1">
      <c r="A49" s="116" t="s">
        <v>86</v>
      </c>
      <c r="B49" s="117" t="s">
        <v>87</v>
      </c>
      <c r="C49" s="252">
        <v>1.6620001</v>
      </c>
      <c r="D49" s="252">
        <v>1.4129999000000002</v>
      </c>
      <c r="E49" s="252">
        <v>1.4473019000000011</v>
      </c>
      <c r="F49" s="260">
        <v>1.3794600999999984</v>
      </c>
      <c r="G49" s="259">
        <v>1.7</v>
      </c>
      <c r="H49" s="252">
        <v>1.4162500999999998</v>
      </c>
      <c r="I49" s="252">
        <f>I162+I200+I251</f>
        <v>1.7837499000000003</v>
      </c>
      <c r="J49" s="260">
        <f>J162+J200</f>
        <v>1.7779162</v>
      </c>
      <c r="K49" s="259">
        <f>K162+K200</f>
        <v>1.8</v>
      </c>
      <c r="L49" s="252">
        <f aca="true" t="shared" si="85" ref="L49:AF49">L162+L200+L251</f>
        <v>1.7151300999999999</v>
      </c>
      <c r="M49" s="252">
        <f t="shared" si="85"/>
        <v>1.7567342</v>
      </c>
      <c r="N49" s="260">
        <f t="shared" si="85"/>
        <v>1.9578361999999998</v>
      </c>
      <c r="O49" s="259">
        <f t="shared" si="85"/>
        <v>1.9362301</v>
      </c>
      <c r="P49" s="252">
        <f t="shared" si="85"/>
        <v>1.5240539000000002</v>
      </c>
      <c r="Q49" s="252">
        <f t="shared" si="85"/>
        <v>1.8397159999999997</v>
      </c>
      <c r="R49" s="252">
        <f t="shared" si="85"/>
        <v>1.7003441000000006</v>
      </c>
      <c r="S49" s="259">
        <f t="shared" si="85"/>
        <v>1.7</v>
      </c>
      <c r="T49" s="252">
        <f t="shared" si="85"/>
        <v>1.4000000000000001</v>
      </c>
      <c r="U49" s="252">
        <f t="shared" si="85"/>
        <v>1.7231239999999997</v>
      </c>
      <c r="V49" s="252">
        <f t="shared" si="85"/>
        <v>1.7126910999999998</v>
      </c>
      <c r="W49" s="259">
        <f t="shared" si="85"/>
        <v>1.6138019</v>
      </c>
      <c r="X49" s="252">
        <f t="shared" si="85"/>
        <v>1.4442781</v>
      </c>
      <c r="Y49" s="252">
        <f t="shared" si="85"/>
        <v>1.8419200000000004</v>
      </c>
      <c r="Z49" s="252">
        <f t="shared" si="85"/>
        <v>1.6999999999999997</v>
      </c>
      <c r="AA49" s="259">
        <f t="shared" si="85"/>
        <v>1.3478819</v>
      </c>
      <c r="AB49" s="252">
        <f t="shared" si="85"/>
        <v>1.3196280000000002</v>
      </c>
      <c r="AC49" s="252">
        <f t="shared" si="85"/>
        <v>1.4359680999999997</v>
      </c>
      <c r="AD49" s="252">
        <f t="shared" si="85"/>
        <v>1.7423433000000004</v>
      </c>
      <c r="AE49" s="259">
        <f t="shared" si="85"/>
        <v>1.5390124</v>
      </c>
      <c r="AF49" s="252">
        <f t="shared" si="85"/>
        <v>1.3787952</v>
      </c>
      <c r="AG49" s="252"/>
      <c r="AH49" s="252"/>
      <c r="AI49" s="451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121">
        <v>1.6876481</v>
      </c>
      <c r="BM49" s="121">
        <v>1.4474249000000001</v>
      </c>
      <c r="BN49" s="121">
        <v>1.3445641999999998</v>
      </c>
      <c r="BO49" s="122">
        <v>1.4295593000000002</v>
      </c>
      <c r="BP49" s="123">
        <v>1.8</v>
      </c>
      <c r="BQ49" s="124">
        <v>1.2752860000000001</v>
      </c>
      <c r="BR49" s="124">
        <f>BR162+BR200+BR251</f>
        <v>1.9247139999999996</v>
      </c>
      <c r="BS49" s="125">
        <f aca="true" t="shared" si="86" ref="BS49:CO49">BS162+BS200</f>
        <v>1.7000000000000002</v>
      </c>
      <c r="BT49" s="123">
        <f t="shared" si="86"/>
        <v>1.9</v>
      </c>
      <c r="BU49" s="124">
        <f t="shared" si="86"/>
        <v>1.6</v>
      </c>
      <c r="BV49" s="124">
        <f t="shared" si="86"/>
        <v>1.7999999999999998</v>
      </c>
      <c r="BW49" s="125">
        <f t="shared" si="86"/>
        <v>1.9590000000000005</v>
      </c>
      <c r="BX49" s="123">
        <f t="shared" si="86"/>
        <v>1.9</v>
      </c>
      <c r="BY49" s="124">
        <f t="shared" si="86"/>
        <v>1.5523148</v>
      </c>
      <c r="BZ49" s="124">
        <f t="shared" si="86"/>
        <v>1.8476852</v>
      </c>
      <c r="CA49" s="124">
        <f t="shared" si="86"/>
        <v>1.6942961800000003</v>
      </c>
      <c r="CB49" s="123">
        <f t="shared" si="86"/>
        <v>1.6</v>
      </c>
      <c r="CC49" s="124">
        <f t="shared" si="86"/>
        <v>1.5</v>
      </c>
      <c r="CD49" s="124">
        <f t="shared" si="86"/>
        <v>1.71832496</v>
      </c>
      <c r="CE49" s="124">
        <f t="shared" si="86"/>
        <v>1.6260670400000006</v>
      </c>
      <c r="CF49" s="123">
        <f t="shared" si="86"/>
        <v>1.6776091</v>
      </c>
      <c r="CG49" s="124">
        <f t="shared" si="86"/>
        <v>1.4627114000000006</v>
      </c>
      <c r="CH49" s="124">
        <f t="shared" si="86"/>
        <v>1.8596794999999993</v>
      </c>
      <c r="CI49" s="124">
        <f t="shared" si="86"/>
        <v>1.7</v>
      </c>
      <c r="CJ49" s="123">
        <f t="shared" si="86"/>
        <v>1.3359896</v>
      </c>
      <c r="CK49" s="124">
        <f t="shared" si="86"/>
        <v>1.2907206999999996</v>
      </c>
      <c r="CL49" s="124">
        <f t="shared" si="86"/>
        <v>1.4604850000000007</v>
      </c>
      <c r="CM49" s="407">
        <f t="shared" si="86"/>
        <v>1.669677099999999</v>
      </c>
      <c r="CN49" s="123">
        <f t="shared" si="86"/>
        <v>1.5564244</v>
      </c>
      <c r="CO49" s="124">
        <f t="shared" si="86"/>
        <v>1.4124632999999998</v>
      </c>
      <c r="CP49" s="124"/>
      <c r="CQ49" s="124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91"/>
      <c r="DU49" s="109">
        <v>1.6</v>
      </c>
      <c r="DV49" s="109">
        <v>1.5</v>
      </c>
      <c r="DW49" s="109">
        <v>1.6999999999999997</v>
      </c>
      <c r="DX49" s="340">
        <v>1.6000000000000005</v>
      </c>
      <c r="DY49" s="341">
        <v>1.6771371</v>
      </c>
      <c r="DZ49" s="109">
        <f>FQ49-DY49</f>
        <v>1.4537733999999984</v>
      </c>
      <c r="EA49" s="109">
        <f t="shared" si="80"/>
        <v>1.813037600000007</v>
      </c>
      <c r="EB49" s="340">
        <f t="shared" si="80"/>
        <v>1.6560518999999942</v>
      </c>
      <c r="EC49" s="341">
        <v>1.3318496</v>
      </c>
      <c r="ED49" s="109">
        <f>FT49-EC49</f>
        <v>1.2844607</v>
      </c>
      <c r="EE49" s="109">
        <f>FU49-EC49-ED49</f>
        <v>1.4520049999999949</v>
      </c>
      <c r="EF49" s="109">
        <f>FV49-EE49-ED49-EC49</f>
        <v>1.6595171000000009</v>
      </c>
      <c r="EG49" s="341">
        <v>1.5564243999999994</v>
      </c>
      <c r="EH49" s="109">
        <f>FW49-EG49</f>
        <v>1.412463299999999</v>
      </c>
      <c r="EI49" s="109"/>
      <c r="EJ49" s="109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110">
        <v>3.1</v>
      </c>
      <c r="FO49" s="110">
        <v>4.8</v>
      </c>
      <c r="FP49" s="110">
        <v>6.4</v>
      </c>
      <c r="FQ49" s="110">
        <v>3.1309104999999984</v>
      </c>
      <c r="FR49" s="110">
        <v>4.943948100000005</v>
      </c>
      <c r="FS49" s="110">
        <v>6.6</v>
      </c>
      <c r="FT49" s="110">
        <v>2.6163103</v>
      </c>
      <c r="FU49" s="110">
        <v>4.068315299999995</v>
      </c>
      <c r="FV49" s="110">
        <v>5.727832399999995</v>
      </c>
      <c r="FW49" s="110">
        <v>2.9688876999999985</v>
      </c>
      <c r="FX49" s="110"/>
      <c r="FY49" s="110"/>
      <c r="FZ49" s="451"/>
      <c r="GA49" s="63"/>
      <c r="GB49" s="63"/>
    </row>
    <row r="50" spans="1:184" ht="15" customHeight="1" hidden="1" outlineLevel="1">
      <c r="A50" s="99" t="s">
        <v>93</v>
      </c>
      <c r="B50" s="99" t="s">
        <v>93</v>
      </c>
      <c r="C50" s="257">
        <v>0.0008299</v>
      </c>
      <c r="D50" s="257">
        <v>0.0022151000000000002</v>
      </c>
      <c r="E50" s="257">
        <v>0.0008108</v>
      </c>
      <c r="F50" s="258">
        <v>0.0012772000000000005</v>
      </c>
      <c r="G50" s="256">
        <v>0.0007805</v>
      </c>
      <c r="H50" s="257">
        <v>0.0010322999999999999</v>
      </c>
      <c r="I50" s="257">
        <f>I163+I201+I252</f>
        <v>0</v>
      </c>
      <c r="J50" s="258">
        <f>J163+J201+J252</f>
        <v>0</v>
      </c>
      <c r="K50" s="256">
        <f>K163+K201+K252</f>
        <v>0</v>
      </c>
      <c r="L50" s="252">
        <f aca="true" t="shared" si="87" ref="L50:AF50">L163+L201+L252</f>
        <v>0</v>
      </c>
      <c r="M50" s="252">
        <f t="shared" si="87"/>
        <v>0</v>
      </c>
      <c r="N50" s="260">
        <f t="shared" si="87"/>
        <v>0</v>
      </c>
      <c r="O50" s="259">
        <f t="shared" si="87"/>
        <v>0.0020638</v>
      </c>
      <c r="P50" s="252">
        <f t="shared" si="87"/>
        <v>0</v>
      </c>
      <c r="Q50" s="252">
        <f t="shared" si="87"/>
        <v>0</v>
      </c>
      <c r="R50" s="267">
        <f t="shared" si="87"/>
        <v>0</v>
      </c>
      <c r="S50" s="259">
        <f t="shared" si="87"/>
        <v>0.0020638</v>
      </c>
      <c r="T50" s="252">
        <f t="shared" si="87"/>
        <v>0.00028419999999999964</v>
      </c>
      <c r="U50" s="252">
        <f t="shared" si="87"/>
        <v>0.0009436000000000002</v>
      </c>
      <c r="V50" s="252">
        <f t="shared" si="87"/>
        <v>0.0013079000000000003</v>
      </c>
      <c r="W50" s="259">
        <f t="shared" si="87"/>
        <v>0.0011637</v>
      </c>
      <c r="X50" s="252">
        <f t="shared" si="87"/>
        <v>0.0012873000000000001</v>
      </c>
      <c r="Y50" s="252">
        <f t="shared" si="87"/>
        <v>0</v>
      </c>
      <c r="Z50" s="252">
        <f t="shared" si="87"/>
        <v>0.002549</v>
      </c>
      <c r="AA50" s="259">
        <f t="shared" si="87"/>
        <v>0.0034444</v>
      </c>
      <c r="AB50" s="252">
        <f t="shared" si="87"/>
        <v>0.0065704000000000005</v>
      </c>
      <c r="AC50" s="252">
        <f t="shared" si="87"/>
        <v>0.0080239</v>
      </c>
      <c r="AD50" s="252">
        <f t="shared" si="87"/>
        <v>0.006612736999999997</v>
      </c>
      <c r="AE50" s="259">
        <f t="shared" si="87"/>
        <v>0.0064482</v>
      </c>
      <c r="AF50" s="252">
        <f t="shared" si="87"/>
        <v>0.0051392999999999986</v>
      </c>
      <c r="AG50" s="252"/>
      <c r="AH50" s="252"/>
      <c r="AI50" s="451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111">
        <v>0</v>
      </c>
      <c r="BM50" s="111">
        <v>0</v>
      </c>
      <c r="BN50" s="111">
        <v>0</v>
      </c>
      <c r="BO50" s="112">
        <v>0</v>
      </c>
      <c r="BP50" s="113"/>
      <c r="BQ50" s="114">
        <v>0</v>
      </c>
      <c r="BR50" s="114">
        <f>BR163+BR201+BR252</f>
        <v>0</v>
      </c>
      <c r="BS50" s="115">
        <f>BS163+BS201+BS252</f>
        <v>0</v>
      </c>
      <c r="BT50" s="113">
        <f>BT163+BT201+BT252</f>
        <v>0</v>
      </c>
      <c r="BU50" s="114">
        <f>BU163+BU201+BU252</f>
        <v>0</v>
      </c>
      <c r="BV50" s="114"/>
      <c r="BW50" s="115"/>
      <c r="BX50" s="113"/>
      <c r="BY50" s="114"/>
      <c r="BZ50" s="114"/>
      <c r="CA50" s="114"/>
      <c r="CB50" s="113"/>
      <c r="CC50" s="114"/>
      <c r="CD50" s="114"/>
      <c r="CE50" s="114"/>
      <c r="CF50" s="113"/>
      <c r="CG50" s="114"/>
      <c r="CH50" s="114"/>
      <c r="CI50" s="114"/>
      <c r="CJ50" s="113"/>
      <c r="CK50" s="114"/>
      <c r="CL50" s="114"/>
      <c r="CM50" s="406"/>
      <c r="CN50" s="113"/>
      <c r="CO50" s="114"/>
      <c r="CP50" s="114"/>
      <c r="CQ50" s="114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91"/>
      <c r="DU50" s="109"/>
      <c r="DV50" s="109"/>
      <c r="DW50" s="109"/>
      <c r="DX50" s="340"/>
      <c r="DY50" s="341"/>
      <c r="DZ50" s="109"/>
      <c r="EA50" s="109"/>
      <c r="EB50" s="340"/>
      <c r="EC50" s="341"/>
      <c r="ED50" s="109"/>
      <c r="EE50" s="109"/>
      <c r="EF50" s="109"/>
      <c r="EG50" s="341"/>
      <c r="EH50" s="109"/>
      <c r="EI50" s="109"/>
      <c r="EJ50" s="109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451"/>
      <c r="GA50" s="63"/>
      <c r="GB50" s="63"/>
    </row>
    <row r="51" spans="1:184" ht="15" hidden="1" outlineLevel="1">
      <c r="A51" s="116" t="s">
        <v>88</v>
      </c>
      <c r="B51" s="117" t="s">
        <v>89</v>
      </c>
      <c r="C51" s="252">
        <v>14.91</v>
      </c>
      <c r="D51" s="252">
        <v>23.562</v>
      </c>
      <c r="E51" s="252">
        <v>30.258999999999993</v>
      </c>
      <c r="F51" s="260">
        <v>24.188000000000002</v>
      </c>
      <c r="G51" s="259">
        <v>41</v>
      </c>
      <c r="H51" s="252">
        <v>37.5</v>
      </c>
      <c r="I51" s="252">
        <f>I164+I202+I253</f>
        <v>41.900000000000006</v>
      </c>
      <c r="J51" s="260">
        <f>J164+J202+J253</f>
        <v>39.599999999999994</v>
      </c>
      <c r="K51" s="259">
        <f>K164+K202+K253</f>
        <v>42.3</v>
      </c>
      <c r="L51" s="252">
        <f aca="true" t="shared" si="88" ref="L51:AF51">L164+L202+L253</f>
        <v>29.409000000000006</v>
      </c>
      <c r="M51" s="252">
        <f t="shared" si="88"/>
        <v>39.949</v>
      </c>
      <c r="N51" s="260">
        <f t="shared" si="88"/>
        <v>34.38600000000001</v>
      </c>
      <c r="O51" s="259">
        <f t="shared" si="88"/>
        <v>35.732</v>
      </c>
      <c r="P51" s="252">
        <f t="shared" si="88"/>
        <v>38.557</v>
      </c>
      <c r="Q51" s="252">
        <f t="shared" si="88"/>
        <v>36.211</v>
      </c>
      <c r="R51" s="252">
        <f t="shared" si="88"/>
        <v>23.381</v>
      </c>
      <c r="S51" s="259">
        <f t="shared" si="88"/>
        <v>36.5</v>
      </c>
      <c r="T51" s="252">
        <f t="shared" si="88"/>
        <v>33.795</v>
      </c>
      <c r="U51" s="252">
        <f t="shared" si="88"/>
        <v>26.733000000000004</v>
      </c>
      <c r="V51" s="252">
        <f t="shared" si="88"/>
        <v>32.120999999999995</v>
      </c>
      <c r="W51" s="259">
        <f t="shared" si="88"/>
        <v>41.029</v>
      </c>
      <c r="X51" s="252">
        <f t="shared" si="88"/>
        <v>42.502</v>
      </c>
      <c r="Y51" s="252">
        <f t="shared" si="88"/>
        <v>40.46899999999999</v>
      </c>
      <c r="Z51" s="252">
        <f t="shared" si="88"/>
        <v>12.000000000000014</v>
      </c>
      <c r="AA51" s="259">
        <f t="shared" si="88"/>
        <v>32.121</v>
      </c>
      <c r="AB51" s="252">
        <f t="shared" si="88"/>
        <v>12.692999999999998</v>
      </c>
      <c r="AC51" s="252">
        <f t="shared" si="88"/>
        <v>33.882</v>
      </c>
      <c r="AD51" s="252">
        <f t="shared" si="88"/>
        <v>28.36100000000001</v>
      </c>
      <c r="AE51" s="259">
        <f t="shared" si="88"/>
        <v>16.018</v>
      </c>
      <c r="AF51" s="252">
        <f t="shared" si="88"/>
        <v>9.096999999999998</v>
      </c>
      <c r="AG51" s="252"/>
      <c r="AH51" s="252"/>
      <c r="AI51" s="451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121">
        <v>12.797</v>
      </c>
      <c r="BM51" s="121">
        <v>23.810999999999996</v>
      </c>
      <c r="BN51" s="121">
        <v>29.993000000000002</v>
      </c>
      <c r="BO51" s="122">
        <v>24.373000000000005</v>
      </c>
      <c r="BP51" s="123">
        <v>41.9</v>
      </c>
      <c r="BQ51" s="124">
        <v>37.731</v>
      </c>
      <c r="BR51" s="124">
        <f>BR164+BR202+BR253</f>
        <v>40.568999999999996</v>
      </c>
      <c r="BS51" s="125">
        <f aca="true" t="shared" si="89" ref="BS51:CO51">BS253</f>
        <v>37.400000000000006</v>
      </c>
      <c r="BT51" s="123">
        <f t="shared" si="89"/>
        <v>42.2</v>
      </c>
      <c r="BU51" s="124">
        <f t="shared" si="89"/>
        <v>30.608000000000004</v>
      </c>
      <c r="BV51" s="124">
        <f t="shared" si="89"/>
        <v>39.891999999999996</v>
      </c>
      <c r="BW51" s="125">
        <f t="shared" si="89"/>
        <v>35.325</v>
      </c>
      <c r="BX51" s="123">
        <f t="shared" si="89"/>
        <v>31.897</v>
      </c>
      <c r="BY51" s="124">
        <f t="shared" si="89"/>
        <v>42.499</v>
      </c>
      <c r="BZ51" s="124">
        <f t="shared" si="89"/>
        <v>32.444999999999986</v>
      </c>
      <c r="CA51" s="124">
        <f t="shared" si="89"/>
        <v>25.118000000000023</v>
      </c>
      <c r="CB51" s="123">
        <f t="shared" si="89"/>
        <v>39.1</v>
      </c>
      <c r="CC51" s="124">
        <f t="shared" si="89"/>
        <v>32.699999999999996</v>
      </c>
      <c r="CD51" s="124">
        <f t="shared" si="89"/>
        <v>25.853</v>
      </c>
      <c r="CE51" s="124">
        <f t="shared" si="89"/>
        <v>32.84700000000001</v>
      </c>
      <c r="CF51" s="123">
        <f t="shared" si="89"/>
        <v>39.778</v>
      </c>
      <c r="CG51" s="124">
        <f t="shared" si="89"/>
        <v>43.352</v>
      </c>
      <c r="CH51" s="124">
        <f t="shared" si="89"/>
        <v>38.37</v>
      </c>
      <c r="CI51" s="124">
        <f t="shared" si="89"/>
        <v>12.099999999999994</v>
      </c>
      <c r="CJ51" s="123">
        <f t="shared" si="89"/>
        <v>32.791</v>
      </c>
      <c r="CK51" s="124">
        <f t="shared" si="89"/>
        <v>15.365000000000002</v>
      </c>
      <c r="CL51" s="124">
        <f t="shared" si="89"/>
        <v>31.899</v>
      </c>
      <c r="CM51" s="407">
        <f t="shared" si="89"/>
        <v>31.236999999999995</v>
      </c>
      <c r="CN51" s="123">
        <f t="shared" si="89"/>
        <v>14.762</v>
      </c>
      <c r="CO51" s="124">
        <f t="shared" si="89"/>
        <v>9.271</v>
      </c>
      <c r="CP51" s="124"/>
      <c r="CQ51" s="124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91"/>
      <c r="DU51" s="109">
        <v>35.7</v>
      </c>
      <c r="DV51" s="109">
        <v>22.9</v>
      </c>
      <c r="DW51" s="109">
        <v>39.9</v>
      </c>
      <c r="DX51" s="340">
        <v>31.5</v>
      </c>
      <c r="DY51" s="341">
        <v>41.29864</v>
      </c>
      <c r="DZ51" s="109">
        <f>FQ51-DY51</f>
        <v>41.96139999999999</v>
      </c>
      <c r="EA51" s="109">
        <f>FR51-FQ51</f>
        <v>38.52992000000002</v>
      </c>
      <c r="EB51" s="340">
        <f>FS51-FR51</f>
        <v>10.210039999999992</v>
      </c>
      <c r="EC51" s="341">
        <v>35.57678000000001</v>
      </c>
      <c r="ED51" s="109">
        <f>FT51-EC51</f>
        <v>15.27163999999999</v>
      </c>
      <c r="EE51" s="109">
        <f>FU51-EC51-ED51</f>
        <v>31.233740000000004</v>
      </c>
      <c r="EF51" s="109">
        <f>FV51-EE51-ED51-EC51</f>
        <v>29.210199999999993</v>
      </c>
      <c r="EG51" s="341">
        <v>14.762120000000001</v>
      </c>
      <c r="EH51" s="109">
        <f>FW51-EG51</f>
        <v>9.270379999999998</v>
      </c>
      <c r="EI51" s="109"/>
      <c r="EJ51" s="109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110">
        <v>58.6</v>
      </c>
      <c r="FO51" s="110">
        <v>98.5</v>
      </c>
      <c r="FP51" s="110">
        <v>130</v>
      </c>
      <c r="FQ51" s="110">
        <v>83.26003999999999</v>
      </c>
      <c r="FR51" s="110">
        <v>121.78996000000001</v>
      </c>
      <c r="FS51" s="110">
        <v>132</v>
      </c>
      <c r="FT51" s="110">
        <v>50.84842</v>
      </c>
      <c r="FU51" s="110">
        <v>82.08216</v>
      </c>
      <c r="FV51" s="110">
        <v>111.29236</v>
      </c>
      <c r="FW51" s="110">
        <v>24.0325</v>
      </c>
      <c r="FX51" s="110"/>
      <c r="FY51" s="110"/>
      <c r="FZ51" s="451"/>
      <c r="GA51" s="63"/>
      <c r="GB51" s="63"/>
    </row>
    <row r="52" spans="1:184" ht="31.5" hidden="1" outlineLevel="1">
      <c r="A52" s="290" t="s">
        <v>181</v>
      </c>
      <c r="B52" s="302" t="s">
        <v>197</v>
      </c>
      <c r="C52" s="254">
        <f aca="true" t="shared" si="90" ref="C52:K52">C18-C19+C20-C21+C27-C28+C35-C36+C45</f>
        <v>1268.3000991</v>
      </c>
      <c r="D52" s="254">
        <f t="shared" si="90"/>
        <v>1300.7642579</v>
      </c>
      <c r="E52" s="254">
        <f t="shared" si="90"/>
        <v>1347.4509528999997</v>
      </c>
      <c r="F52" s="255">
        <f t="shared" si="90"/>
        <v>1395.5534171000004</v>
      </c>
      <c r="G52" s="253">
        <f t="shared" si="90"/>
        <v>1430.9000000000003</v>
      </c>
      <c r="H52" s="254">
        <f t="shared" si="90"/>
        <v>1474.8095620999998</v>
      </c>
      <c r="I52" s="254">
        <f t="shared" si="90"/>
        <v>1309.4292328999998</v>
      </c>
      <c r="J52" s="255">
        <f t="shared" si="90"/>
        <v>1481.7433232</v>
      </c>
      <c r="K52" s="253">
        <f t="shared" si="90"/>
        <v>1482.42077</v>
      </c>
      <c r="L52" s="254">
        <f aca="true" t="shared" si="91" ref="L52:AF52">L165+L203+L254</f>
        <v>1439.8808511</v>
      </c>
      <c r="M52" s="254">
        <f t="shared" si="91"/>
        <v>1443.8862232</v>
      </c>
      <c r="N52" s="255">
        <f t="shared" si="91"/>
        <v>1477.6456112</v>
      </c>
      <c r="O52" s="253">
        <f t="shared" si="91"/>
        <v>1576.0333117999999</v>
      </c>
      <c r="P52" s="254">
        <f t="shared" si="91"/>
        <v>1539.2305299</v>
      </c>
      <c r="Q52" s="254">
        <f t="shared" si="91"/>
        <v>1317.1639459999997</v>
      </c>
      <c r="R52" s="254">
        <f t="shared" si="91"/>
        <v>1454.3782570999995</v>
      </c>
      <c r="S52" s="253">
        <f t="shared" si="91"/>
        <v>1558.8979362</v>
      </c>
      <c r="T52" s="254">
        <f t="shared" si="91"/>
        <v>1530.7486408000002</v>
      </c>
      <c r="U52" s="254">
        <f t="shared" si="91"/>
        <v>1487.6989099000002</v>
      </c>
      <c r="V52" s="254">
        <f t="shared" si="91"/>
        <v>1556.5943957000002</v>
      </c>
      <c r="W52" s="253">
        <f t="shared" si="91"/>
        <v>1622.7653186999999</v>
      </c>
      <c r="X52" s="254">
        <f t="shared" si="91"/>
        <v>1622.9760723</v>
      </c>
      <c r="Y52" s="254">
        <f t="shared" si="91"/>
        <v>1523.456158</v>
      </c>
      <c r="Z52" s="254">
        <f t="shared" si="91"/>
        <v>1324.7974510000004</v>
      </c>
      <c r="AA52" s="253">
        <f t="shared" si="91"/>
        <v>1546.8577175</v>
      </c>
      <c r="AB52" s="254">
        <f t="shared" si="91"/>
        <v>1369.8060506</v>
      </c>
      <c r="AC52" s="254">
        <f t="shared" si="91"/>
        <v>1534.2249982</v>
      </c>
      <c r="AD52" s="254">
        <f t="shared" si="91"/>
        <v>1580.9229565629962</v>
      </c>
      <c r="AE52" s="253">
        <f t="shared" si="91"/>
        <v>1519.4437552</v>
      </c>
      <c r="AF52" s="254">
        <f t="shared" si="91"/>
        <v>1507.6681139000002</v>
      </c>
      <c r="AG52" s="254"/>
      <c r="AH52" s="254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303">
        <f aca="true" t="shared" si="92" ref="BL52:CA52">BL18-BL19+BL20-BL21+BL27-BL28+BL35-BL36+BL45</f>
        <v>1383.8423981</v>
      </c>
      <c r="BM52" s="303">
        <f t="shared" si="92"/>
        <v>1286.8114879</v>
      </c>
      <c r="BN52" s="303">
        <f t="shared" si="92"/>
        <v>1330.3864557000002</v>
      </c>
      <c r="BO52" s="304">
        <f t="shared" si="92"/>
        <v>1344.9812408</v>
      </c>
      <c r="BP52" s="305">
        <f t="shared" si="92"/>
        <v>1345</v>
      </c>
      <c r="BQ52" s="303">
        <f t="shared" si="92"/>
        <v>1371.5481620000005</v>
      </c>
      <c r="BR52" s="303">
        <f t="shared" si="92"/>
        <v>1301.451838</v>
      </c>
      <c r="BS52" s="304">
        <f t="shared" si="92"/>
        <v>1446.1</v>
      </c>
      <c r="BT52" s="305">
        <f t="shared" si="92"/>
        <v>1452.8885999999998</v>
      </c>
      <c r="BU52" s="303">
        <f t="shared" si="92"/>
        <v>1494.9694705</v>
      </c>
      <c r="BV52" s="303">
        <f t="shared" si="92"/>
        <v>1408.8579295000002</v>
      </c>
      <c r="BW52" s="304">
        <f t="shared" si="92"/>
        <v>1484.8671539999998</v>
      </c>
      <c r="BX52" s="305">
        <f t="shared" si="92"/>
        <v>1595.0259999999998</v>
      </c>
      <c r="BY52" s="303">
        <f t="shared" si="92"/>
        <v>1508.3484878</v>
      </c>
      <c r="BZ52" s="303">
        <f t="shared" si="92"/>
        <v>1264.1215122000003</v>
      </c>
      <c r="CA52" s="304">
        <f t="shared" si="92"/>
        <v>1425.7163916799998</v>
      </c>
      <c r="CB52" s="305">
        <f aca="true" t="shared" si="93" ref="CB52:CG52">CB18-CB19+CB20-CB21+CB27-CB28+CB35-CB36+CB45</f>
        <v>1545.3999999999999</v>
      </c>
      <c r="CC52" s="303">
        <f t="shared" si="93"/>
        <v>1552.544523</v>
      </c>
      <c r="CD52" s="303">
        <f t="shared" si="93"/>
        <v>1553.60572946</v>
      </c>
      <c r="CE52" s="303">
        <f t="shared" si="93"/>
        <v>1591.1600285399998</v>
      </c>
      <c r="CF52" s="305">
        <f t="shared" si="93"/>
        <v>1578.4711971000002</v>
      </c>
      <c r="CG52" s="303">
        <f t="shared" si="93"/>
        <v>1584.2861769</v>
      </c>
      <c r="CH52" s="303">
        <f aca="true" t="shared" si="94" ref="CH52:CM52">CH18-CH19+CH20-CH21+CH27-CH28+CH35-CH36+CH45</f>
        <v>1555.6426260000003</v>
      </c>
      <c r="CI52" s="303">
        <f t="shared" si="94"/>
        <v>1390.5</v>
      </c>
      <c r="CJ52" s="305">
        <f t="shared" si="94"/>
        <v>1523.5289920999999</v>
      </c>
      <c r="CK52" s="303">
        <f t="shared" si="94"/>
        <v>1378.9111531999997</v>
      </c>
      <c r="CL52" s="303">
        <f t="shared" si="94"/>
        <v>1514.9180655000005</v>
      </c>
      <c r="CM52" s="304">
        <f t="shared" si="94"/>
        <v>1545.1356180999949</v>
      </c>
      <c r="CN52" s="305">
        <f>CN18-CN19+CN20-CN21+CN27-CN28+CN35-CN36+CN45</f>
        <v>1529.7826459</v>
      </c>
      <c r="CO52" s="303">
        <f>CO18-CO19+CO20-CO21+CO27-CO28+CO35-CO36+CO45</f>
        <v>1530.9630053</v>
      </c>
      <c r="CP52" s="303"/>
      <c r="CQ52" s="303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91"/>
      <c r="DU52" s="285">
        <f aca="true" t="shared" si="95" ref="DU52:EA52">DU18+DU20+DU27+DU35+DU45</f>
        <v>1401.6000000000001</v>
      </c>
      <c r="DV52" s="285">
        <f t="shared" si="95"/>
        <v>1544.2</v>
      </c>
      <c r="DW52" s="285">
        <f t="shared" si="95"/>
        <v>1654.3</v>
      </c>
      <c r="DX52" s="344">
        <f t="shared" si="95"/>
        <v>1568.48</v>
      </c>
      <c r="DY52" s="345">
        <f t="shared" si="95"/>
        <v>1563.4599631</v>
      </c>
      <c r="DZ52" s="285">
        <f t="shared" si="95"/>
        <v>1669.6822838999997</v>
      </c>
      <c r="EA52" s="285">
        <f t="shared" si="95"/>
        <v>1503.3397931999998</v>
      </c>
      <c r="EB52" s="344">
        <f aca="true" t="shared" si="96" ref="EB52:EH52">EB18+EB20+EB27+EB35+EB45</f>
        <v>1383.8179598000002</v>
      </c>
      <c r="EC52" s="345">
        <f t="shared" si="96"/>
        <v>1456.4250541000004</v>
      </c>
      <c r="ED52" s="285">
        <f t="shared" si="96"/>
        <v>1437.6071971999995</v>
      </c>
      <c r="EE52" s="285">
        <f t="shared" si="96"/>
        <v>1529.1404280000004</v>
      </c>
      <c r="EF52" s="285">
        <f t="shared" si="96"/>
        <v>1517.1691415999967</v>
      </c>
      <c r="EG52" s="345">
        <f t="shared" si="96"/>
        <v>1556.6983567000004</v>
      </c>
      <c r="EH52" s="285">
        <f t="shared" si="96"/>
        <v>1495.5889776000001</v>
      </c>
      <c r="EI52" s="285"/>
      <c r="EJ52" s="285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3"/>
      <c r="FN52" s="306">
        <f aca="true" t="shared" si="97" ref="FN52:FS52">FN18+FN20+FN27+FN35+FN45</f>
        <v>2945.8</v>
      </c>
      <c r="FO52" s="306">
        <f t="shared" si="97"/>
        <v>4600.1</v>
      </c>
      <c r="FP52" s="306">
        <f t="shared" si="97"/>
        <v>6151.679999999999</v>
      </c>
      <c r="FQ52" s="306">
        <f t="shared" si="97"/>
        <v>3233.1422469999993</v>
      </c>
      <c r="FR52" s="306">
        <f t="shared" si="97"/>
        <v>4736.4820402</v>
      </c>
      <c r="FS52" s="306">
        <f t="shared" si="97"/>
        <v>6120.3</v>
      </c>
      <c r="FT52" s="306">
        <f>FT18+FT20+FT27+FT35+FT45</f>
        <v>2894.0322513</v>
      </c>
      <c r="FU52" s="306">
        <f>FU18+FU20+FU27+FU35+FU45</f>
        <v>4423.172679300001</v>
      </c>
      <c r="FV52" s="306">
        <f>FV18+FV20+FV27+FV35+FV45</f>
        <v>5940.341820899997</v>
      </c>
      <c r="FW52" s="306">
        <f>FW18+FW20+FW27+FW35+FW45</f>
        <v>3052.2873343</v>
      </c>
      <c r="FX52" s="306"/>
      <c r="FY52" s="306"/>
      <c r="FZ52" s="449"/>
      <c r="GA52" s="62"/>
      <c r="GB52" s="62"/>
    </row>
    <row r="53" spans="1:169" ht="15" hidden="1" outlineLevel="1">
      <c r="A53" s="313"/>
      <c r="B53" s="133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</row>
    <row r="54" spans="1:184" ht="15.75" hidden="1" outlineLevel="1">
      <c r="A54" s="98" t="s">
        <v>154</v>
      </c>
      <c r="B54" s="98" t="s">
        <v>155</v>
      </c>
      <c r="C54" s="254"/>
      <c r="D54" s="254"/>
      <c r="E54" s="254"/>
      <c r="F54" s="255"/>
      <c r="G54" s="253"/>
      <c r="H54" s="254"/>
      <c r="I54" s="254"/>
      <c r="J54" s="255"/>
      <c r="K54" s="253"/>
      <c r="L54" s="254"/>
      <c r="M54" s="254"/>
      <c r="N54" s="255"/>
      <c r="O54" s="253"/>
      <c r="P54" s="254">
        <f aca="true" t="shared" si="98" ref="P54:V54">P209</f>
        <v>0</v>
      </c>
      <c r="Q54" s="254">
        <f t="shared" si="98"/>
        <v>0</v>
      </c>
      <c r="R54" s="254">
        <f t="shared" si="98"/>
        <v>21.051</v>
      </c>
      <c r="S54" s="253">
        <f t="shared" si="98"/>
        <v>105.24</v>
      </c>
      <c r="T54" s="254">
        <f t="shared" si="98"/>
        <v>160.667</v>
      </c>
      <c r="U54" s="254">
        <f t="shared" si="98"/>
        <v>178.412</v>
      </c>
      <c r="V54" s="254">
        <f t="shared" si="98"/>
        <v>197.306</v>
      </c>
      <c r="W54" s="253">
        <f aca="true" t="shared" si="99" ref="W54:AF54">W209</f>
        <v>214.9</v>
      </c>
      <c r="X54" s="254">
        <f t="shared" si="99"/>
        <v>205.172</v>
      </c>
      <c r="Y54" s="254">
        <f t="shared" si="99"/>
        <v>210.436</v>
      </c>
      <c r="Z54" s="254">
        <f t="shared" si="99"/>
        <v>260.49299999999994</v>
      </c>
      <c r="AA54" s="253">
        <f t="shared" si="99"/>
        <v>270.317</v>
      </c>
      <c r="AB54" s="254">
        <f t="shared" si="99"/>
        <v>286.70799999999997</v>
      </c>
      <c r="AC54" s="254">
        <f t="shared" si="99"/>
        <v>273.85800000000006</v>
      </c>
      <c r="AD54" s="254">
        <f t="shared" si="99"/>
        <v>304.349</v>
      </c>
      <c r="AE54" s="253">
        <f t="shared" si="99"/>
        <v>289.403</v>
      </c>
      <c r="AF54" s="254">
        <f t="shared" si="99"/>
        <v>294.119</v>
      </c>
      <c r="AG54" s="254"/>
      <c r="AH54" s="254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86"/>
      <c r="BM54" s="86"/>
      <c r="BN54" s="86"/>
      <c r="BO54" s="87"/>
      <c r="BP54" s="88"/>
      <c r="BQ54" s="89"/>
      <c r="BR54" s="89"/>
      <c r="BS54" s="90"/>
      <c r="BT54" s="88"/>
      <c r="BU54" s="89"/>
      <c r="BV54" s="89"/>
      <c r="BW54" s="90"/>
      <c r="BX54" s="88"/>
      <c r="BY54" s="89">
        <f>BY209-BY210</f>
        <v>0</v>
      </c>
      <c r="BZ54" s="89">
        <f aca="true" t="shared" si="100" ref="BZ54:CO54">BZ209-BZ210</f>
        <v>0</v>
      </c>
      <c r="CA54" s="90">
        <f t="shared" si="100"/>
        <v>0</v>
      </c>
      <c r="CB54" s="88">
        <f t="shared" si="100"/>
        <v>0</v>
      </c>
      <c r="CC54" s="89">
        <f t="shared" si="100"/>
        <v>0</v>
      </c>
      <c r="CD54" s="89">
        <f t="shared" si="100"/>
        <v>7.61345</v>
      </c>
      <c r="CE54" s="89">
        <f t="shared" si="100"/>
        <v>3.9000000000000057</v>
      </c>
      <c r="CF54" s="88">
        <f t="shared" si="100"/>
        <v>23.35145</v>
      </c>
      <c r="CG54" s="89">
        <f t="shared" si="100"/>
        <v>14.277749999999997</v>
      </c>
      <c r="CH54" s="89">
        <f t="shared" si="100"/>
        <v>38.890600000000006</v>
      </c>
      <c r="CI54" s="89">
        <f t="shared" si="100"/>
        <v>103.24019999999993</v>
      </c>
      <c r="CJ54" s="88">
        <f t="shared" si="100"/>
        <v>60.77190000000002</v>
      </c>
      <c r="CK54" s="89">
        <f t="shared" si="100"/>
        <v>107.54399999999998</v>
      </c>
      <c r="CL54" s="89">
        <f t="shared" si="100"/>
        <v>91.08976000000001</v>
      </c>
      <c r="CM54" s="404">
        <f t="shared" si="100"/>
        <v>96.57314999999997</v>
      </c>
      <c r="CN54" s="88">
        <f t="shared" si="100"/>
        <v>69.28899999999999</v>
      </c>
      <c r="CO54" s="89">
        <f t="shared" si="100"/>
        <v>111.26950899999997</v>
      </c>
      <c r="CP54" s="89"/>
      <c r="CQ54" s="89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U54" s="109">
        <f>CB54</f>
        <v>0</v>
      </c>
      <c r="DV54" s="109">
        <f>CC54</f>
        <v>0</v>
      </c>
      <c r="DW54" s="109">
        <f>CD54</f>
        <v>7.61345</v>
      </c>
      <c r="DX54" s="340">
        <f>CE54</f>
        <v>3.9000000000000057</v>
      </c>
      <c r="DY54" s="341">
        <f>CF54</f>
        <v>23.35145</v>
      </c>
      <c r="DZ54" s="109">
        <f>FQ54-DY54</f>
        <v>14.277299999999997</v>
      </c>
      <c r="EA54" s="109">
        <f>FR54-FQ54</f>
        <v>38.890600000000006</v>
      </c>
      <c r="EB54" s="340">
        <f>FS54-FR54</f>
        <v>103.24064999999999</v>
      </c>
      <c r="EC54" s="341">
        <f>CJ54</f>
        <v>60.77190000000002</v>
      </c>
      <c r="ED54" s="109">
        <f>FT54-EC54</f>
        <v>107.54438000000005</v>
      </c>
      <c r="EE54" s="109">
        <f>FU54-EC54-ED54</f>
        <v>91.0898600000001</v>
      </c>
      <c r="EF54" s="109">
        <f>FV54-EE54-ED54-EC54</f>
        <v>96.57260099999996</v>
      </c>
      <c r="EG54" s="341">
        <f>CN54</f>
        <v>69.28899999999999</v>
      </c>
      <c r="EH54" s="109">
        <f>FW54-EG54</f>
        <v>111.26991000000021</v>
      </c>
      <c r="EI54" s="109"/>
      <c r="EJ54" s="109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110">
        <v>0</v>
      </c>
      <c r="FO54" s="110">
        <v>7.61345</v>
      </c>
      <c r="FP54" s="110">
        <v>7.61345</v>
      </c>
      <c r="FQ54" s="110">
        <v>37.62875</v>
      </c>
      <c r="FR54" s="110">
        <v>76.51935</v>
      </c>
      <c r="FS54" s="110">
        <v>179.76</v>
      </c>
      <c r="FT54" s="110">
        <v>168.31628000000006</v>
      </c>
      <c r="FU54" s="110">
        <v>259.40614000000016</v>
      </c>
      <c r="FV54" s="110">
        <v>355.9787410000001</v>
      </c>
      <c r="FW54" s="110">
        <v>180.5589100000002</v>
      </c>
      <c r="FX54" s="110"/>
      <c r="FY54" s="110"/>
      <c r="FZ54" s="451"/>
      <c r="GA54" s="63"/>
      <c r="GB54" s="63"/>
    </row>
    <row r="55" spans="1:184" ht="15" hidden="1" outlineLevel="1">
      <c r="A55" s="100" t="s">
        <v>99</v>
      </c>
      <c r="B55" s="100" t="s">
        <v>93</v>
      </c>
      <c r="C55" s="257"/>
      <c r="D55" s="257"/>
      <c r="E55" s="257"/>
      <c r="F55" s="258"/>
      <c r="G55" s="256"/>
      <c r="H55" s="257"/>
      <c r="I55" s="257"/>
      <c r="J55" s="258"/>
      <c r="K55" s="256"/>
      <c r="L55" s="257"/>
      <c r="M55" s="257"/>
      <c r="N55" s="258"/>
      <c r="O55" s="256"/>
      <c r="P55" s="257">
        <f>BY210</f>
        <v>0</v>
      </c>
      <c r="Q55" s="257">
        <f aca="true" t="shared" si="101" ref="Q55:AF55">BZ210</f>
        <v>0</v>
      </c>
      <c r="R55" s="257">
        <f t="shared" si="101"/>
        <v>21.051</v>
      </c>
      <c r="S55" s="256">
        <f t="shared" si="101"/>
        <v>108.32</v>
      </c>
      <c r="T55" s="257">
        <f t="shared" si="101"/>
        <v>160.408</v>
      </c>
      <c r="U55" s="257">
        <f t="shared" si="101"/>
        <v>167.2912</v>
      </c>
      <c r="V55" s="257">
        <f t="shared" si="101"/>
        <v>193.894</v>
      </c>
      <c r="W55" s="256">
        <f t="shared" si="101"/>
        <v>190.8541</v>
      </c>
      <c r="X55" s="257">
        <f t="shared" si="101"/>
        <v>192.71529</v>
      </c>
      <c r="Y55" s="257">
        <f t="shared" si="101"/>
        <v>176.51271999999997</v>
      </c>
      <c r="Z55" s="257">
        <f t="shared" si="101"/>
        <v>157.52089000000004</v>
      </c>
      <c r="AA55" s="256">
        <f t="shared" si="101"/>
        <v>205.548</v>
      </c>
      <c r="AB55" s="257">
        <f t="shared" si="101"/>
        <v>167.02100000000002</v>
      </c>
      <c r="AC55" s="257">
        <f t="shared" si="101"/>
        <v>199.29239</v>
      </c>
      <c r="AD55" s="257">
        <f t="shared" si="101"/>
        <v>203.0139</v>
      </c>
      <c r="AE55" s="256">
        <f t="shared" si="101"/>
        <v>219.555</v>
      </c>
      <c r="AF55" s="257">
        <f t="shared" si="101"/>
        <v>185.06295</v>
      </c>
      <c r="AG55" s="257"/>
      <c r="AH55" s="25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04"/>
      <c r="BM55" s="104"/>
      <c r="BN55" s="104"/>
      <c r="BO55" s="105"/>
      <c r="BP55" s="106"/>
      <c r="BQ55" s="107"/>
      <c r="BR55" s="107"/>
      <c r="BS55" s="108"/>
      <c r="BT55" s="106"/>
      <c r="BU55" s="107"/>
      <c r="BV55" s="107"/>
      <c r="BW55" s="108"/>
      <c r="BX55" s="106"/>
      <c r="BY55" s="107"/>
      <c r="BZ55" s="107"/>
      <c r="CA55" s="108"/>
      <c r="CB55" s="106"/>
      <c r="CC55" s="107"/>
      <c r="CD55" s="107"/>
      <c r="CE55" s="107"/>
      <c r="CF55" s="106"/>
      <c r="CG55" s="107"/>
      <c r="CH55" s="107"/>
      <c r="CI55" s="107"/>
      <c r="CJ55" s="106"/>
      <c r="CK55" s="107"/>
      <c r="CL55" s="107"/>
      <c r="CM55" s="405"/>
      <c r="CN55" s="106"/>
      <c r="CO55" s="107"/>
      <c r="CP55" s="107"/>
      <c r="CQ55" s="107"/>
      <c r="CR55" s="456"/>
      <c r="CS55" s="456"/>
      <c r="CT55" s="456"/>
      <c r="CU55" s="456"/>
      <c r="CV55" s="456"/>
      <c r="CW55" s="456"/>
      <c r="CX55" s="456"/>
      <c r="CY55" s="456"/>
      <c r="CZ55" s="456"/>
      <c r="DA55" s="456"/>
      <c r="DB55" s="456"/>
      <c r="DC55" s="456"/>
      <c r="DD55" s="456"/>
      <c r="DE55" s="456"/>
      <c r="DF55" s="456"/>
      <c r="DG55" s="456"/>
      <c r="DH55" s="456"/>
      <c r="DI55" s="456"/>
      <c r="DJ55" s="456"/>
      <c r="DK55" s="456"/>
      <c r="DL55" s="456"/>
      <c r="DM55" s="456"/>
      <c r="DN55" s="456"/>
      <c r="DO55" s="456"/>
      <c r="DP55" s="456"/>
      <c r="DQ55" s="456"/>
      <c r="DR55" s="456"/>
      <c r="DS55" s="456"/>
      <c r="DU55" s="109"/>
      <c r="DV55" s="109"/>
      <c r="DW55" s="109"/>
      <c r="DX55" s="340"/>
      <c r="DY55" s="341"/>
      <c r="DZ55" s="109"/>
      <c r="EA55" s="109"/>
      <c r="EB55" s="340"/>
      <c r="EC55" s="341"/>
      <c r="ED55" s="109"/>
      <c r="EE55" s="109"/>
      <c r="EF55" s="109"/>
      <c r="EG55" s="341"/>
      <c r="EH55" s="109"/>
      <c r="EI55" s="109"/>
      <c r="EJ55" s="109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451"/>
      <c r="GA55" s="63"/>
      <c r="GB55" s="63"/>
    </row>
    <row r="56" spans="1:184" ht="31.5" hidden="1" outlineLevel="1">
      <c r="A56" s="290" t="s">
        <v>182</v>
      </c>
      <c r="B56" s="290" t="s">
        <v>185</v>
      </c>
      <c r="C56" s="254"/>
      <c r="D56" s="254"/>
      <c r="E56" s="254"/>
      <c r="F56" s="269"/>
      <c r="G56" s="253"/>
      <c r="H56" s="254"/>
      <c r="I56" s="254"/>
      <c r="J56" s="269"/>
      <c r="K56" s="253"/>
      <c r="L56" s="254"/>
      <c r="M56" s="254"/>
      <c r="N56" s="269"/>
      <c r="O56" s="253"/>
      <c r="P56" s="254">
        <f>P54-P55</f>
        <v>0</v>
      </c>
      <c r="Q56" s="254">
        <f>Q54-Q55</f>
        <v>0</v>
      </c>
      <c r="R56" s="269">
        <f>R54-R55</f>
        <v>0</v>
      </c>
      <c r="S56" s="253">
        <f aca="true" t="shared" si="102" ref="S56:X56">S54-S55</f>
        <v>-3.0799999999999983</v>
      </c>
      <c r="T56" s="254">
        <f t="shared" si="102"/>
        <v>0.25900000000001455</v>
      </c>
      <c r="U56" s="254">
        <f t="shared" si="102"/>
        <v>11.120800000000003</v>
      </c>
      <c r="V56" s="254">
        <f t="shared" si="102"/>
        <v>3.412000000000006</v>
      </c>
      <c r="W56" s="253">
        <f t="shared" si="102"/>
        <v>24.045900000000017</v>
      </c>
      <c r="X56" s="254">
        <f t="shared" si="102"/>
        <v>12.456709999999987</v>
      </c>
      <c r="Y56" s="254">
        <f aca="true" t="shared" si="103" ref="Y56:AD56">Y54-Y55</f>
        <v>33.923280000000034</v>
      </c>
      <c r="Z56" s="254">
        <f t="shared" si="103"/>
        <v>102.9721099999999</v>
      </c>
      <c r="AA56" s="253">
        <f t="shared" si="103"/>
        <v>64.769</v>
      </c>
      <c r="AB56" s="254">
        <f t="shared" si="103"/>
        <v>119.68699999999995</v>
      </c>
      <c r="AC56" s="254">
        <f t="shared" si="103"/>
        <v>74.56561000000005</v>
      </c>
      <c r="AD56" s="254">
        <f t="shared" si="103"/>
        <v>101.33509999999998</v>
      </c>
      <c r="AE56" s="253">
        <f>AE54-AE55</f>
        <v>69.84800000000001</v>
      </c>
      <c r="AF56" s="254">
        <f>AF54-AF55</f>
        <v>109.05605000000003</v>
      </c>
      <c r="AG56" s="254"/>
      <c r="AH56" s="254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287">
        <f aca="true" t="shared" si="104" ref="BL56:CA56">BL54-BL55</f>
        <v>0</v>
      </c>
      <c r="BM56" s="287">
        <f t="shared" si="104"/>
        <v>0</v>
      </c>
      <c r="BN56" s="287">
        <f t="shared" si="104"/>
        <v>0</v>
      </c>
      <c r="BO56" s="307">
        <f t="shared" si="104"/>
        <v>0</v>
      </c>
      <c r="BP56" s="308">
        <f t="shared" si="104"/>
        <v>0</v>
      </c>
      <c r="BQ56" s="287">
        <f t="shared" si="104"/>
        <v>0</v>
      </c>
      <c r="BR56" s="287">
        <f t="shared" si="104"/>
        <v>0</v>
      </c>
      <c r="BS56" s="307">
        <f t="shared" si="104"/>
        <v>0</v>
      </c>
      <c r="BT56" s="308">
        <f t="shared" si="104"/>
        <v>0</v>
      </c>
      <c r="BU56" s="287">
        <f t="shared" si="104"/>
        <v>0</v>
      </c>
      <c r="BV56" s="287">
        <f t="shared" si="104"/>
        <v>0</v>
      </c>
      <c r="BW56" s="307">
        <f t="shared" si="104"/>
        <v>0</v>
      </c>
      <c r="BX56" s="308">
        <f t="shared" si="104"/>
        <v>0</v>
      </c>
      <c r="BY56" s="287">
        <f t="shared" si="104"/>
        <v>0</v>
      </c>
      <c r="BZ56" s="287">
        <f t="shared" si="104"/>
        <v>0</v>
      </c>
      <c r="CA56" s="307">
        <f t="shared" si="104"/>
        <v>0</v>
      </c>
      <c r="CB56" s="308">
        <f aca="true" t="shared" si="105" ref="CB56:CG56">CB54-CB55</f>
        <v>0</v>
      </c>
      <c r="CC56" s="287">
        <f t="shared" si="105"/>
        <v>0</v>
      </c>
      <c r="CD56" s="287">
        <f t="shared" si="105"/>
        <v>7.61345</v>
      </c>
      <c r="CE56" s="287">
        <f t="shared" si="105"/>
        <v>3.9000000000000057</v>
      </c>
      <c r="CF56" s="308">
        <f t="shared" si="105"/>
        <v>23.35145</v>
      </c>
      <c r="CG56" s="287">
        <f t="shared" si="105"/>
        <v>14.277749999999997</v>
      </c>
      <c r="CH56" s="287">
        <f aca="true" t="shared" si="106" ref="CH56:CM56">CH54-CH55</f>
        <v>38.890600000000006</v>
      </c>
      <c r="CI56" s="287">
        <f t="shared" si="106"/>
        <v>103.24019999999993</v>
      </c>
      <c r="CJ56" s="308">
        <f t="shared" si="106"/>
        <v>60.77190000000002</v>
      </c>
      <c r="CK56" s="287">
        <f t="shared" si="106"/>
        <v>107.54399999999998</v>
      </c>
      <c r="CL56" s="287">
        <f t="shared" si="106"/>
        <v>91.08976000000001</v>
      </c>
      <c r="CM56" s="307">
        <f t="shared" si="106"/>
        <v>96.57314999999997</v>
      </c>
      <c r="CN56" s="308">
        <f>CN54-CN55</f>
        <v>69.28899999999999</v>
      </c>
      <c r="CO56" s="287">
        <f>CO54-CO55</f>
        <v>111.26950899999997</v>
      </c>
      <c r="CP56" s="287"/>
      <c r="CQ56" s="287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U56" s="285">
        <f aca="true" t="shared" si="107" ref="DU56:EA56">DU54-DU55</f>
        <v>0</v>
      </c>
      <c r="DV56" s="285">
        <f t="shared" si="107"/>
        <v>0</v>
      </c>
      <c r="DW56" s="285">
        <f t="shared" si="107"/>
        <v>7.61345</v>
      </c>
      <c r="DX56" s="344">
        <f t="shared" si="107"/>
        <v>3.9000000000000057</v>
      </c>
      <c r="DY56" s="345">
        <f t="shared" si="107"/>
        <v>23.35145</v>
      </c>
      <c r="DZ56" s="285">
        <f t="shared" si="107"/>
        <v>14.277299999999997</v>
      </c>
      <c r="EA56" s="285">
        <f t="shared" si="107"/>
        <v>38.890600000000006</v>
      </c>
      <c r="EB56" s="344">
        <f aca="true" t="shared" si="108" ref="EB56:EH56">EB54-EB55</f>
        <v>103.24064999999999</v>
      </c>
      <c r="EC56" s="345">
        <f t="shared" si="108"/>
        <v>60.77190000000002</v>
      </c>
      <c r="ED56" s="285">
        <f t="shared" si="108"/>
        <v>107.54438000000005</v>
      </c>
      <c r="EE56" s="285">
        <f t="shared" si="108"/>
        <v>91.0898600000001</v>
      </c>
      <c r="EF56" s="285">
        <f t="shared" si="108"/>
        <v>96.57260099999996</v>
      </c>
      <c r="EG56" s="345">
        <f t="shared" si="108"/>
        <v>69.28899999999999</v>
      </c>
      <c r="EH56" s="285">
        <f t="shared" si="108"/>
        <v>111.26991000000021</v>
      </c>
      <c r="EI56" s="285"/>
      <c r="EJ56" s="285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3"/>
      <c r="FN56" s="306">
        <f aca="true" t="shared" si="109" ref="FN56:FU56">FN54</f>
        <v>0</v>
      </c>
      <c r="FO56" s="306">
        <f t="shared" si="109"/>
        <v>7.61345</v>
      </c>
      <c r="FP56" s="306">
        <f t="shared" si="109"/>
        <v>7.61345</v>
      </c>
      <c r="FQ56" s="306">
        <f t="shared" si="109"/>
        <v>37.62875</v>
      </c>
      <c r="FR56" s="306">
        <f t="shared" si="109"/>
        <v>76.51935</v>
      </c>
      <c r="FS56" s="306">
        <f t="shared" si="109"/>
        <v>179.76</v>
      </c>
      <c r="FT56" s="306">
        <f t="shared" si="109"/>
        <v>168.31628000000006</v>
      </c>
      <c r="FU56" s="306">
        <f t="shared" si="109"/>
        <v>259.40614000000016</v>
      </c>
      <c r="FV56" s="306">
        <f>FV54</f>
        <v>355.9787410000001</v>
      </c>
      <c r="FW56" s="306">
        <f>FW54</f>
        <v>180.5589100000002</v>
      </c>
      <c r="FX56" s="306"/>
      <c r="FY56" s="306"/>
      <c r="FZ56" s="449"/>
      <c r="GA56" s="62"/>
      <c r="GB56" s="62"/>
    </row>
    <row r="57" spans="1:184" ht="15.75" hidden="1" outlineLevel="1">
      <c r="A57" s="314"/>
      <c r="B57" s="60"/>
      <c r="C57" s="66"/>
      <c r="D57" s="66"/>
      <c r="E57" s="66"/>
      <c r="F57" s="66"/>
      <c r="G57" s="66"/>
      <c r="H57" s="66"/>
      <c r="I57" s="66"/>
      <c r="J57" s="66"/>
      <c r="K57" s="66"/>
      <c r="L57" s="62"/>
      <c r="M57" s="62"/>
      <c r="N57" s="62"/>
      <c r="O57" s="62"/>
      <c r="P57" s="62"/>
      <c r="Q57" s="62"/>
      <c r="R57" s="62"/>
      <c r="S57" s="378"/>
      <c r="T57" s="378"/>
      <c r="U57" s="378"/>
      <c r="V57" s="378"/>
      <c r="W57" s="62"/>
      <c r="X57" s="62"/>
      <c r="Y57" s="62"/>
      <c r="Z57" s="378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3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</row>
    <row r="58" spans="1:184" ht="31.5" hidden="1" outlineLevel="1">
      <c r="A58" s="298" t="s">
        <v>189</v>
      </c>
      <c r="B58" s="298" t="s">
        <v>190</v>
      </c>
      <c r="C58" s="310">
        <f aca="true" t="shared" si="110" ref="C58:R58">C52+C56</f>
        <v>1268.3000991</v>
      </c>
      <c r="D58" s="310">
        <f t="shared" si="110"/>
        <v>1300.7642579</v>
      </c>
      <c r="E58" s="310">
        <f t="shared" si="110"/>
        <v>1347.4509528999997</v>
      </c>
      <c r="F58" s="311">
        <f t="shared" si="110"/>
        <v>1395.5534171000004</v>
      </c>
      <c r="G58" s="312">
        <f t="shared" si="110"/>
        <v>1430.9000000000003</v>
      </c>
      <c r="H58" s="310">
        <f t="shared" si="110"/>
        <v>1474.8095620999998</v>
      </c>
      <c r="I58" s="310">
        <f t="shared" si="110"/>
        <v>1309.4292328999998</v>
      </c>
      <c r="J58" s="311">
        <f t="shared" si="110"/>
        <v>1481.7433232</v>
      </c>
      <c r="K58" s="312">
        <f t="shared" si="110"/>
        <v>1482.42077</v>
      </c>
      <c r="L58" s="309">
        <f t="shared" si="110"/>
        <v>1439.8808511</v>
      </c>
      <c r="M58" s="309">
        <f t="shared" si="110"/>
        <v>1443.8862232</v>
      </c>
      <c r="N58" s="379">
        <f t="shared" si="110"/>
        <v>1477.6456112</v>
      </c>
      <c r="O58" s="347">
        <f t="shared" si="110"/>
        <v>1576.0333117999999</v>
      </c>
      <c r="P58" s="309">
        <f t="shared" si="110"/>
        <v>1539.2305299</v>
      </c>
      <c r="Q58" s="309">
        <f t="shared" si="110"/>
        <v>1317.1639459999997</v>
      </c>
      <c r="R58" s="379">
        <f t="shared" si="110"/>
        <v>1454.3782570999995</v>
      </c>
      <c r="S58" s="347">
        <f aca="true" t="shared" si="111" ref="S58:X58">S52+S56</f>
        <v>1555.8179362</v>
      </c>
      <c r="T58" s="309">
        <f t="shared" si="111"/>
        <v>1531.0076408000002</v>
      </c>
      <c r="U58" s="309">
        <f t="shared" si="111"/>
        <v>1498.8197099000001</v>
      </c>
      <c r="V58" s="309">
        <f t="shared" si="111"/>
        <v>1560.0063957000002</v>
      </c>
      <c r="W58" s="347">
        <f t="shared" si="111"/>
        <v>1646.8112187</v>
      </c>
      <c r="X58" s="309">
        <f t="shared" si="111"/>
        <v>1635.4327822999999</v>
      </c>
      <c r="Y58" s="309">
        <f aca="true" t="shared" si="112" ref="Y58:AD58">Y52+Y56</f>
        <v>1557.379438</v>
      </c>
      <c r="Z58" s="309">
        <f t="shared" si="112"/>
        <v>1427.7695610000003</v>
      </c>
      <c r="AA58" s="347">
        <f t="shared" si="112"/>
        <v>1611.6267175</v>
      </c>
      <c r="AB58" s="309">
        <f t="shared" si="112"/>
        <v>1489.4930505999998</v>
      </c>
      <c r="AC58" s="309">
        <f t="shared" si="112"/>
        <v>1608.7906082000002</v>
      </c>
      <c r="AD58" s="309">
        <f t="shared" si="112"/>
        <v>1682.2580565629962</v>
      </c>
      <c r="AE58" s="347">
        <f>AE52+AE56</f>
        <v>1589.2917552</v>
      </c>
      <c r="AF58" s="309">
        <f>AF52+AF56</f>
        <v>1616.7241639000003</v>
      </c>
      <c r="AG58" s="309"/>
      <c r="AH58" s="309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310">
        <f aca="true" t="shared" si="113" ref="BL58:CC58">BL52+BL56</f>
        <v>1383.8423981</v>
      </c>
      <c r="BM58" s="310">
        <f t="shared" si="113"/>
        <v>1286.8114879</v>
      </c>
      <c r="BN58" s="310">
        <f t="shared" si="113"/>
        <v>1330.3864557000002</v>
      </c>
      <c r="BO58" s="311">
        <f t="shared" si="113"/>
        <v>1344.9812408</v>
      </c>
      <c r="BP58" s="312">
        <f t="shared" si="113"/>
        <v>1345</v>
      </c>
      <c r="BQ58" s="310">
        <f t="shared" si="113"/>
        <v>1371.5481620000005</v>
      </c>
      <c r="BR58" s="310">
        <f t="shared" si="113"/>
        <v>1301.451838</v>
      </c>
      <c r="BS58" s="311">
        <f t="shared" si="113"/>
        <v>1446.1</v>
      </c>
      <c r="BT58" s="312">
        <f t="shared" si="113"/>
        <v>1452.8885999999998</v>
      </c>
      <c r="BU58" s="310">
        <f t="shared" si="113"/>
        <v>1494.9694705</v>
      </c>
      <c r="BV58" s="310">
        <f t="shared" si="113"/>
        <v>1408.8579295000002</v>
      </c>
      <c r="BW58" s="311">
        <f t="shared" si="113"/>
        <v>1484.8671539999998</v>
      </c>
      <c r="BX58" s="312">
        <f t="shared" si="113"/>
        <v>1595.0259999999998</v>
      </c>
      <c r="BY58" s="310">
        <f t="shared" si="113"/>
        <v>1508.3484878</v>
      </c>
      <c r="BZ58" s="310">
        <f t="shared" si="113"/>
        <v>1264.1215122000003</v>
      </c>
      <c r="CA58" s="311">
        <f t="shared" si="113"/>
        <v>1425.7163916799998</v>
      </c>
      <c r="CB58" s="312">
        <f t="shared" si="113"/>
        <v>1545.3999999999999</v>
      </c>
      <c r="CC58" s="310">
        <f t="shared" si="113"/>
        <v>1552.544523</v>
      </c>
      <c r="CD58" s="310">
        <f aca="true" t="shared" si="114" ref="CD58:CJ58">CD52+CD56</f>
        <v>1561.21917946</v>
      </c>
      <c r="CE58" s="310">
        <f t="shared" si="114"/>
        <v>1595.0600285399998</v>
      </c>
      <c r="CF58" s="312">
        <f t="shared" si="114"/>
        <v>1601.8226471000003</v>
      </c>
      <c r="CG58" s="310">
        <f t="shared" si="114"/>
        <v>1598.5639269</v>
      </c>
      <c r="CH58" s="310">
        <f t="shared" si="114"/>
        <v>1594.5332260000002</v>
      </c>
      <c r="CI58" s="310">
        <f t="shared" si="114"/>
        <v>1493.7402</v>
      </c>
      <c r="CJ58" s="312">
        <f t="shared" si="114"/>
        <v>1584.3008920999998</v>
      </c>
      <c r="CK58" s="310">
        <f>CK52+CK56</f>
        <v>1486.4551531999996</v>
      </c>
      <c r="CL58" s="310">
        <f>CL52+CL56</f>
        <v>1606.0078255000005</v>
      </c>
      <c r="CM58" s="311">
        <f>CM52+CM56</f>
        <v>1641.7087680999948</v>
      </c>
      <c r="CN58" s="312">
        <f>CN52+CN56</f>
        <v>1599.0716459</v>
      </c>
      <c r="CO58" s="310">
        <f>CO52+CO56</f>
        <v>1642.2325143</v>
      </c>
      <c r="CP58" s="310"/>
      <c r="CQ58" s="310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U58" s="309">
        <f aca="true" t="shared" si="115" ref="DU58:EH58">DU52+DU56</f>
        <v>1401.6000000000001</v>
      </c>
      <c r="DV58" s="309">
        <f t="shared" si="115"/>
        <v>1544.2</v>
      </c>
      <c r="DW58" s="309">
        <f t="shared" si="115"/>
        <v>1661.91345</v>
      </c>
      <c r="DX58" s="346">
        <f t="shared" si="115"/>
        <v>1572.38</v>
      </c>
      <c r="DY58" s="347">
        <f t="shared" si="115"/>
        <v>1586.8114131000002</v>
      </c>
      <c r="DZ58" s="309">
        <f t="shared" si="115"/>
        <v>1683.9595838999996</v>
      </c>
      <c r="EA58" s="309">
        <f t="shared" si="115"/>
        <v>1542.2303931999998</v>
      </c>
      <c r="EB58" s="346">
        <f t="shared" si="115"/>
        <v>1487.0586098</v>
      </c>
      <c r="EC58" s="347">
        <f t="shared" si="115"/>
        <v>1517.1969541000003</v>
      </c>
      <c r="ED58" s="309">
        <f t="shared" si="115"/>
        <v>1545.1515771999996</v>
      </c>
      <c r="EE58" s="309">
        <f t="shared" si="115"/>
        <v>1620.2302880000004</v>
      </c>
      <c r="EF58" s="309">
        <f t="shared" si="115"/>
        <v>1613.7417425999965</v>
      </c>
      <c r="EG58" s="347">
        <f>EG52+EG56</f>
        <v>1625.9873567000004</v>
      </c>
      <c r="EH58" s="309">
        <f t="shared" si="115"/>
        <v>1606.8588876000003</v>
      </c>
      <c r="EI58" s="309"/>
      <c r="EJ58" s="309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3"/>
      <c r="FN58" s="309">
        <f aca="true" t="shared" si="116" ref="FN58:FU58">FN52+FN56</f>
        <v>2945.8</v>
      </c>
      <c r="FO58" s="309">
        <f t="shared" si="116"/>
        <v>4607.71345</v>
      </c>
      <c r="FP58" s="309">
        <f t="shared" si="116"/>
        <v>6159.293449999999</v>
      </c>
      <c r="FQ58" s="309">
        <f t="shared" si="116"/>
        <v>3270.770996999999</v>
      </c>
      <c r="FR58" s="309">
        <f t="shared" si="116"/>
        <v>4813.001390199999</v>
      </c>
      <c r="FS58" s="309">
        <f t="shared" si="116"/>
        <v>6300.06</v>
      </c>
      <c r="FT58" s="309">
        <f t="shared" si="116"/>
        <v>3062.3485313</v>
      </c>
      <c r="FU58" s="309">
        <f t="shared" si="116"/>
        <v>4682.578819300001</v>
      </c>
      <c r="FV58" s="309">
        <f>FV52+FV56</f>
        <v>6296.320561899997</v>
      </c>
      <c r="FW58" s="309">
        <f>FW52+FW56</f>
        <v>3232.8462443000003</v>
      </c>
      <c r="FX58" s="309"/>
      <c r="FY58" s="309"/>
      <c r="FZ58" s="449"/>
      <c r="GA58" s="62"/>
      <c r="GB58" s="62"/>
    </row>
    <row r="59" spans="1:168" ht="15.75" hidden="1" outlineLevel="1">
      <c r="A59" s="276" t="s">
        <v>192</v>
      </c>
      <c r="B59" s="132"/>
      <c r="C59" s="136"/>
      <c r="D59" s="137"/>
      <c r="E59" s="137"/>
      <c r="F59" s="137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416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9"/>
      <c r="BM59" s="140"/>
      <c r="BN59" s="140"/>
      <c r="BO59" s="140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</row>
    <row r="60" spans="1:168" ht="15.75" hidden="1" outlineLevel="1">
      <c r="A60" s="422"/>
      <c r="B60" s="132"/>
      <c r="C60" s="136"/>
      <c r="D60" s="137"/>
      <c r="E60" s="137"/>
      <c r="F60" s="137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416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9"/>
      <c r="BM60" s="140"/>
      <c r="BN60" s="140"/>
      <c r="BO60" s="140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</row>
    <row r="61" spans="1:179" ht="15.75" hidden="1" outlineLevel="1">
      <c r="A61" s="132"/>
      <c r="B61" s="132"/>
      <c r="C61" s="136"/>
      <c r="D61" s="137"/>
      <c r="E61" s="137"/>
      <c r="F61" s="137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6"/>
      <c r="BM61" s="137"/>
      <c r="BN61" s="137"/>
      <c r="BO61" s="137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W61" s="135"/>
    </row>
    <row r="62" spans="1:202" ht="15.75" collapsed="1">
      <c r="A62" s="654" t="s">
        <v>219</v>
      </c>
      <c r="B62" s="654" t="s">
        <v>255</v>
      </c>
      <c r="C62" s="655" t="s">
        <v>52</v>
      </c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655"/>
      <c r="U62" s="655"/>
      <c r="V62" s="655"/>
      <c r="W62" s="655"/>
      <c r="X62" s="655"/>
      <c r="Y62" s="655"/>
      <c r="Z62" s="655"/>
      <c r="AA62" s="655"/>
      <c r="AB62" s="655"/>
      <c r="AC62" s="655"/>
      <c r="AD62" s="655"/>
      <c r="AE62" s="655"/>
      <c r="AF62" s="655"/>
      <c r="AG62" s="655"/>
      <c r="AH62" s="655"/>
      <c r="AI62" s="655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5"/>
      <c r="AU62" s="655"/>
      <c r="AV62" s="655"/>
      <c r="AW62" s="655"/>
      <c r="AX62" s="655"/>
      <c r="AY62" s="655"/>
      <c r="AZ62" s="655"/>
      <c r="BA62" s="655"/>
      <c r="BB62" s="655"/>
      <c r="BC62" s="655"/>
      <c r="BD62" s="655"/>
      <c r="BE62" s="655"/>
      <c r="BF62" s="655"/>
      <c r="BG62" s="655"/>
      <c r="BH62" s="655"/>
      <c r="BI62" s="655"/>
      <c r="BJ62" s="655"/>
      <c r="BK62" s="331"/>
      <c r="BL62" s="656" t="s">
        <v>171</v>
      </c>
      <c r="BM62" s="656"/>
      <c r="BN62" s="656"/>
      <c r="BO62" s="656"/>
      <c r="BP62" s="656"/>
      <c r="BQ62" s="656"/>
      <c r="BR62" s="656"/>
      <c r="BS62" s="656"/>
      <c r="BT62" s="656"/>
      <c r="BU62" s="656"/>
      <c r="BV62" s="656"/>
      <c r="BW62" s="656"/>
      <c r="BX62" s="656"/>
      <c r="BY62" s="656"/>
      <c r="BZ62" s="656"/>
      <c r="CA62" s="656"/>
      <c r="CB62" s="656"/>
      <c r="CC62" s="656"/>
      <c r="CD62" s="656"/>
      <c r="CE62" s="656"/>
      <c r="CF62" s="656"/>
      <c r="CG62" s="656"/>
      <c r="CH62" s="656"/>
      <c r="CI62" s="656"/>
      <c r="CJ62" s="656"/>
      <c r="CK62" s="656"/>
      <c r="CL62" s="656"/>
      <c r="CM62" s="656"/>
      <c r="CN62" s="656"/>
      <c r="CO62" s="656"/>
      <c r="CP62" s="656"/>
      <c r="CQ62" s="656"/>
      <c r="CR62" s="656"/>
      <c r="CS62" s="656"/>
      <c r="CT62" s="656"/>
      <c r="CU62" s="656"/>
      <c r="CV62" s="656"/>
      <c r="CW62" s="656"/>
      <c r="CX62" s="656"/>
      <c r="CY62" s="656"/>
      <c r="CZ62" s="656"/>
      <c r="DA62" s="656"/>
      <c r="DB62" s="656"/>
      <c r="DC62" s="656"/>
      <c r="DD62" s="656"/>
      <c r="DE62" s="656"/>
      <c r="DF62" s="656"/>
      <c r="DG62" s="656"/>
      <c r="DH62" s="656"/>
      <c r="DI62" s="656"/>
      <c r="DJ62" s="656"/>
      <c r="DK62" s="656"/>
      <c r="DL62" s="656"/>
      <c r="DM62" s="656"/>
      <c r="DN62" s="656"/>
      <c r="DO62" s="656"/>
      <c r="DP62" s="656"/>
      <c r="DQ62" s="656"/>
      <c r="DR62" s="656"/>
      <c r="DS62" s="656"/>
      <c r="DT62" s="462"/>
      <c r="DU62" s="653" t="s">
        <v>191</v>
      </c>
      <c r="DV62" s="653"/>
      <c r="DW62" s="653"/>
      <c r="DX62" s="653"/>
      <c r="DY62" s="653"/>
      <c r="DZ62" s="653"/>
      <c r="EA62" s="653"/>
      <c r="EB62" s="653"/>
      <c r="EC62" s="653"/>
      <c r="ED62" s="653"/>
      <c r="EE62" s="653"/>
      <c r="EF62" s="653"/>
      <c r="EG62" s="653"/>
      <c r="EH62" s="653"/>
      <c r="EI62" s="653"/>
      <c r="EJ62" s="653"/>
      <c r="EK62" s="653"/>
      <c r="EL62" s="653"/>
      <c r="EM62" s="653"/>
      <c r="EN62" s="653"/>
      <c r="EO62" s="653"/>
      <c r="EP62" s="653"/>
      <c r="EQ62" s="653"/>
      <c r="ER62" s="653"/>
      <c r="ES62" s="653"/>
      <c r="ET62" s="653"/>
      <c r="EU62" s="653"/>
      <c r="EV62" s="653"/>
      <c r="EW62" s="653"/>
      <c r="EX62" s="653"/>
      <c r="EY62" s="653"/>
      <c r="EZ62" s="653"/>
      <c r="FA62" s="653"/>
      <c r="FB62" s="653"/>
      <c r="FC62" s="653"/>
      <c r="FD62" s="653"/>
      <c r="FE62" s="653"/>
      <c r="FF62" s="653"/>
      <c r="FG62" s="653"/>
      <c r="FH62" s="653"/>
      <c r="FI62" s="653"/>
      <c r="FJ62" s="653"/>
      <c r="FK62" s="653"/>
      <c r="FL62" s="653"/>
      <c r="FN62" s="657" t="s">
        <v>191</v>
      </c>
      <c r="FO62" s="657"/>
      <c r="FP62" s="657"/>
      <c r="FQ62" s="657"/>
      <c r="FR62" s="657"/>
      <c r="FS62" s="657"/>
      <c r="FT62" s="657"/>
      <c r="FU62" s="657"/>
      <c r="FV62" s="657"/>
      <c r="FW62" s="657"/>
      <c r="FX62" s="657"/>
      <c r="FY62" s="657"/>
      <c r="FZ62" s="657"/>
      <c r="GA62" s="657"/>
      <c r="GB62" s="657"/>
      <c r="GC62" s="657"/>
      <c r="GD62" s="657"/>
      <c r="GE62" s="657"/>
      <c r="GF62" s="657"/>
      <c r="GG62" s="657"/>
      <c r="GH62" s="657"/>
      <c r="GI62" s="657"/>
      <c r="GJ62" s="657"/>
      <c r="GK62" s="657"/>
      <c r="GL62" s="657"/>
      <c r="GM62" s="657"/>
      <c r="GN62" s="657"/>
      <c r="GO62" s="657"/>
      <c r="GP62" s="657"/>
      <c r="GQ62" s="657"/>
      <c r="GR62" s="657"/>
      <c r="GS62" s="657"/>
      <c r="GT62" s="657"/>
    </row>
    <row r="63" spans="1:202" ht="18" customHeight="1">
      <c r="A63" s="654"/>
      <c r="B63" s="654"/>
      <c r="C63" s="655" t="s">
        <v>54</v>
      </c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5"/>
      <c r="AU63" s="655"/>
      <c r="AV63" s="655"/>
      <c r="AW63" s="655"/>
      <c r="AX63" s="655"/>
      <c r="AY63" s="655"/>
      <c r="AZ63" s="655"/>
      <c r="BA63" s="655"/>
      <c r="BB63" s="655"/>
      <c r="BC63" s="655"/>
      <c r="BD63" s="655"/>
      <c r="BE63" s="655"/>
      <c r="BF63" s="655"/>
      <c r="BG63" s="655"/>
      <c r="BH63" s="655"/>
      <c r="BI63" s="655"/>
      <c r="BJ63" s="655"/>
      <c r="BK63" s="331"/>
      <c r="BL63" s="656" t="s">
        <v>172</v>
      </c>
      <c r="BM63" s="656"/>
      <c r="BN63" s="656"/>
      <c r="BO63" s="656"/>
      <c r="BP63" s="656"/>
      <c r="BQ63" s="656"/>
      <c r="BR63" s="656"/>
      <c r="BS63" s="656"/>
      <c r="BT63" s="656"/>
      <c r="BU63" s="656"/>
      <c r="BV63" s="656"/>
      <c r="BW63" s="656"/>
      <c r="BX63" s="656"/>
      <c r="BY63" s="656"/>
      <c r="BZ63" s="656"/>
      <c r="CA63" s="656"/>
      <c r="CB63" s="656"/>
      <c r="CC63" s="656"/>
      <c r="CD63" s="656"/>
      <c r="CE63" s="656"/>
      <c r="CF63" s="656"/>
      <c r="CG63" s="656"/>
      <c r="CH63" s="656"/>
      <c r="CI63" s="656"/>
      <c r="CJ63" s="656"/>
      <c r="CK63" s="656"/>
      <c r="CL63" s="656"/>
      <c r="CM63" s="656"/>
      <c r="CN63" s="656"/>
      <c r="CO63" s="656"/>
      <c r="CP63" s="656"/>
      <c r="CQ63" s="656"/>
      <c r="CR63" s="656"/>
      <c r="CS63" s="656"/>
      <c r="CT63" s="656"/>
      <c r="CU63" s="656"/>
      <c r="CV63" s="656"/>
      <c r="CW63" s="656"/>
      <c r="CX63" s="656"/>
      <c r="CY63" s="656"/>
      <c r="CZ63" s="656"/>
      <c r="DA63" s="656"/>
      <c r="DB63" s="656"/>
      <c r="DC63" s="656"/>
      <c r="DD63" s="656"/>
      <c r="DE63" s="656"/>
      <c r="DF63" s="656"/>
      <c r="DG63" s="656"/>
      <c r="DH63" s="656"/>
      <c r="DI63" s="656"/>
      <c r="DJ63" s="656"/>
      <c r="DK63" s="656"/>
      <c r="DL63" s="656"/>
      <c r="DM63" s="656"/>
      <c r="DN63" s="656"/>
      <c r="DO63" s="656"/>
      <c r="DP63" s="656"/>
      <c r="DQ63" s="656"/>
      <c r="DR63" s="656"/>
      <c r="DS63" s="656"/>
      <c r="DT63" s="462"/>
      <c r="DU63" s="653" t="s">
        <v>168</v>
      </c>
      <c r="DV63" s="653"/>
      <c r="DW63" s="653"/>
      <c r="DX63" s="653"/>
      <c r="DY63" s="653"/>
      <c r="DZ63" s="653"/>
      <c r="EA63" s="653"/>
      <c r="EB63" s="653"/>
      <c r="EC63" s="653"/>
      <c r="ED63" s="653"/>
      <c r="EE63" s="653"/>
      <c r="EF63" s="653"/>
      <c r="EG63" s="653"/>
      <c r="EH63" s="653"/>
      <c r="EI63" s="653"/>
      <c r="EJ63" s="653"/>
      <c r="EK63" s="653"/>
      <c r="EL63" s="653"/>
      <c r="EM63" s="653"/>
      <c r="EN63" s="653"/>
      <c r="EO63" s="653"/>
      <c r="EP63" s="653"/>
      <c r="EQ63" s="653"/>
      <c r="ER63" s="653"/>
      <c r="ES63" s="653"/>
      <c r="ET63" s="653"/>
      <c r="EU63" s="653"/>
      <c r="EV63" s="653"/>
      <c r="EW63" s="653"/>
      <c r="EX63" s="653"/>
      <c r="EY63" s="653"/>
      <c r="EZ63" s="653"/>
      <c r="FA63" s="653"/>
      <c r="FB63" s="653"/>
      <c r="FC63" s="653"/>
      <c r="FD63" s="653"/>
      <c r="FE63" s="653"/>
      <c r="FF63" s="653"/>
      <c r="FG63" s="653"/>
      <c r="FH63" s="653"/>
      <c r="FI63" s="653"/>
      <c r="FJ63" s="653"/>
      <c r="FK63" s="653"/>
      <c r="FL63" s="653"/>
      <c r="FN63" s="657" t="s">
        <v>168</v>
      </c>
      <c r="FO63" s="657"/>
      <c r="FP63" s="657"/>
      <c r="FQ63" s="657"/>
      <c r="FR63" s="657"/>
      <c r="FS63" s="657"/>
      <c r="FT63" s="657"/>
      <c r="FU63" s="657"/>
      <c r="FV63" s="657"/>
      <c r="FW63" s="657"/>
      <c r="FX63" s="657"/>
      <c r="FY63" s="657"/>
      <c r="FZ63" s="657"/>
      <c r="GA63" s="657"/>
      <c r="GB63" s="657"/>
      <c r="GC63" s="657"/>
      <c r="GD63" s="657"/>
      <c r="GE63" s="657"/>
      <c r="GF63" s="657"/>
      <c r="GG63" s="657"/>
      <c r="GH63" s="657"/>
      <c r="GI63" s="657"/>
      <c r="GJ63" s="657"/>
      <c r="GK63" s="657"/>
      <c r="GL63" s="657"/>
      <c r="GM63" s="657"/>
      <c r="GN63" s="657"/>
      <c r="GO63" s="657"/>
      <c r="GP63" s="657"/>
      <c r="GQ63" s="657"/>
      <c r="GR63" s="657"/>
      <c r="GS63" s="657"/>
      <c r="GT63" s="657"/>
    </row>
    <row r="64" spans="1:202" s="68" customFormat="1" ht="15.75">
      <c r="A64" s="96" t="s">
        <v>55</v>
      </c>
      <c r="B64" s="96" t="s">
        <v>53</v>
      </c>
      <c r="C64" s="328" t="s">
        <v>108</v>
      </c>
      <c r="D64" s="328" t="s">
        <v>109</v>
      </c>
      <c r="E64" s="328" t="s">
        <v>110</v>
      </c>
      <c r="F64" s="329" t="s">
        <v>111</v>
      </c>
      <c r="G64" s="330" t="s">
        <v>107</v>
      </c>
      <c r="H64" s="328" t="s">
        <v>140</v>
      </c>
      <c r="I64" s="328" t="s">
        <v>141</v>
      </c>
      <c r="J64" s="329" t="s">
        <v>143</v>
      </c>
      <c r="K64" s="330" t="s">
        <v>144</v>
      </c>
      <c r="L64" s="328" t="s">
        <v>145</v>
      </c>
      <c r="M64" s="328" t="s">
        <v>146</v>
      </c>
      <c r="N64" s="329" t="s">
        <v>147</v>
      </c>
      <c r="O64" s="330" t="s">
        <v>148</v>
      </c>
      <c r="P64" s="328" t="s">
        <v>149</v>
      </c>
      <c r="Q64" s="328" t="s">
        <v>151</v>
      </c>
      <c r="R64" s="328" t="s">
        <v>158</v>
      </c>
      <c r="S64" s="330" t="s">
        <v>164</v>
      </c>
      <c r="T64" s="328" t="s">
        <v>165</v>
      </c>
      <c r="U64" s="328" t="s">
        <v>166</v>
      </c>
      <c r="V64" s="328" t="s">
        <v>167</v>
      </c>
      <c r="W64" s="330" t="s">
        <v>196</v>
      </c>
      <c r="X64" s="328" t="s">
        <v>198</v>
      </c>
      <c r="Y64" s="328" t="s">
        <v>200</v>
      </c>
      <c r="Z64" s="328" t="s">
        <v>202</v>
      </c>
      <c r="AA64" s="330" t="s">
        <v>207</v>
      </c>
      <c r="AB64" s="328" t="s">
        <v>209</v>
      </c>
      <c r="AC64" s="328" t="s">
        <v>210</v>
      </c>
      <c r="AD64" s="328" t="s">
        <v>211</v>
      </c>
      <c r="AE64" s="330" t="s">
        <v>215</v>
      </c>
      <c r="AF64" s="328" t="s">
        <v>216</v>
      </c>
      <c r="AG64" s="328" t="s">
        <v>220</v>
      </c>
      <c r="AH64" s="455" t="s">
        <v>225</v>
      </c>
      <c r="AI64" s="466" t="s">
        <v>230</v>
      </c>
      <c r="AJ64" s="328" t="s">
        <v>232</v>
      </c>
      <c r="AK64" s="328" t="s">
        <v>237</v>
      </c>
      <c r="AL64" s="328" t="s">
        <v>239</v>
      </c>
      <c r="AM64" s="466" t="s">
        <v>246</v>
      </c>
      <c r="AN64" s="328" t="s">
        <v>247</v>
      </c>
      <c r="AO64" s="328" t="s">
        <v>249</v>
      </c>
      <c r="AP64" s="328" t="s">
        <v>251</v>
      </c>
      <c r="AQ64" s="330" t="s">
        <v>254</v>
      </c>
      <c r="AR64" s="328" t="s">
        <v>257</v>
      </c>
      <c r="AS64" s="328" t="s">
        <v>259</v>
      </c>
      <c r="AT64" s="328" t="s">
        <v>261</v>
      </c>
      <c r="AU64" s="466" t="s">
        <v>263</v>
      </c>
      <c r="AV64" s="328" t="s">
        <v>264</v>
      </c>
      <c r="AW64" s="328" t="s">
        <v>266</v>
      </c>
      <c r="AX64" s="455" t="s">
        <v>268</v>
      </c>
      <c r="AY64" s="330" t="s">
        <v>274</v>
      </c>
      <c r="AZ64" s="328" t="s">
        <v>275</v>
      </c>
      <c r="BA64" s="328" t="s">
        <v>277</v>
      </c>
      <c r="BB64" s="328" t="s">
        <v>279</v>
      </c>
      <c r="BC64" s="330" t="s">
        <v>281</v>
      </c>
      <c r="BD64" s="328" t="s">
        <v>282</v>
      </c>
      <c r="BE64" s="328" t="s">
        <v>286</v>
      </c>
      <c r="BF64" s="328" t="s">
        <v>291</v>
      </c>
      <c r="BG64" s="330" t="s">
        <v>293</v>
      </c>
      <c r="BH64" s="328" t="s">
        <v>294</v>
      </c>
      <c r="BI64" s="328" t="s">
        <v>296</v>
      </c>
      <c r="BJ64" s="328" t="s">
        <v>310</v>
      </c>
      <c r="BK64" s="335"/>
      <c r="BL64" s="332" t="s">
        <v>108</v>
      </c>
      <c r="BM64" s="332" t="s">
        <v>109</v>
      </c>
      <c r="BN64" s="332" t="s">
        <v>110</v>
      </c>
      <c r="BO64" s="333" t="s">
        <v>111</v>
      </c>
      <c r="BP64" s="334" t="s">
        <v>107</v>
      </c>
      <c r="BQ64" s="332" t="s">
        <v>140</v>
      </c>
      <c r="BR64" s="332" t="s">
        <v>141</v>
      </c>
      <c r="BS64" s="333" t="s">
        <v>143</v>
      </c>
      <c r="BT64" s="334" t="s">
        <v>144</v>
      </c>
      <c r="BU64" s="332" t="s">
        <v>145</v>
      </c>
      <c r="BV64" s="332" t="s">
        <v>146</v>
      </c>
      <c r="BW64" s="333" t="s">
        <v>147</v>
      </c>
      <c r="BX64" s="334" t="s">
        <v>148</v>
      </c>
      <c r="BY64" s="332" t="s">
        <v>149</v>
      </c>
      <c r="BZ64" s="332" t="s">
        <v>151</v>
      </c>
      <c r="CA64" s="332" t="s">
        <v>158</v>
      </c>
      <c r="CB64" s="334" t="s">
        <v>164</v>
      </c>
      <c r="CC64" s="332" t="s">
        <v>165</v>
      </c>
      <c r="CD64" s="332" t="s">
        <v>166</v>
      </c>
      <c r="CE64" s="332" t="s">
        <v>167</v>
      </c>
      <c r="CF64" s="334" t="s">
        <v>196</v>
      </c>
      <c r="CG64" s="332" t="s">
        <v>198</v>
      </c>
      <c r="CH64" s="332" t="s">
        <v>200</v>
      </c>
      <c r="CI64" s="332" t="s">
        <v>202</v>
      </c>
      <c r="CJ64" s="334" t="s">
        <v>207</v>
      </c>
      <c r="CK64" s="332" t="s">
        <v>209</v>
      </c>
      <c r="CL64" s="332" t="s">
        <v>210</v>
      </c>
      <c r="CM64" s="403" t="s">
        <v>211</v>
      </c>
      <c r="CN64" s="334" t="s">
        <v>215</v>
      </c>
      <c r="CO64" s="332" t="s">
        <v>216</v>
      </c>
      <c r="CP64" s="332" t="s">
        <v>220</v>
      </c>
      <c r="CQ64" s="332" t="s">
        <v>225</v>
      </c>
      <c r="CR64" s="469" t="s">
        <v>230</v>
      </c>
      <c r="CS64" s="332" t="s">
        <v>232</v>
      </c>
      <c r="CT64" s="332" t="s">
        <v>237</v>
      </c>
      <c r="CU64" s="332" t="s">
        <v>239</v>
      </c>
      <c r="CV64" s="334" t="s">
        <v>246</v>
      </c>
      <c r="CW64" s="332" t="s">
        <v>247</v>
      </c>
      <c r="CX64" s="332" t="s">
        <v>249</v>
      </c>
      <c r="CY64" s="332" t="s">
        <v>251</v>
      </c>
      <c r="CZ64" s="334" t="s">
        <v>254</v>
      </c>
      <c r="DA64" s="332" t="s">
        <v>257</v>
      </c>
      <c r="DB64" s="332" t="s">
        <v>259</v>
      </c>
      <c r="DC64" s="332" t="s">
        <v>261</v>
      </c>
      <c r="DD64" s="334" t="s">
        <v>263</v>
      </c>
      <c r="DE64" s="332" t="s">
        <v>264</v>
      </c>
      <c r="DF64" s="332" t="s">
        <v>266</v>
      </c>
      <c r="DG64" s="332" t="s">
        <v>268</v>
      </c>
      <c r="DH64" s="334" t="s">
        <v>274</v>
      </c>
      <c r="DI64" s="332" t="s">
        <v>275</v>
      </c>
      <c r="DJ64" s="332" t="s">
        <v>277</v>
      </c>
      <c r="DK64" s="332" t="s">
        <v>279</v>
      </c>
      <c r="DL64" s="334" t="s">
        <v>281</v>
      </c>
      <c r="DM64" s="332" t="s">
        <v>282</v>
      </c>
      <c r="DN64" s="332" t="s">
        <v>286</v>
      </c>
      <c r="DO64" s="332" t="s">
        <v>291</v>
      </c>
      <c r="DP64" s="334" t="s">
        <v>293</v>
      </c>
      <c r="DQ64" s="332" t="s">
        <v>294</v>
      </c>
      <c r="DR64" s="332" t="s">
        <v>296</v>
      </c>
      <c r="DS64" s="332" t="s">
        <v>309</v>
      </c>
      <c r="DT64" s="247"/>
      <c r="DU64" s="348" t="s">
        <v>164</v>
      </c>
      <c r="DV64" s="348" t="s">
        <v>165</v>
      </c>
      <c r="DW64" s="348" t="s">
        <v>166</v>
      </c>
      <c r="DX64" s="349" t="s">
        <v>167</v>
      </c>
      <c r="DY64" s="350" t="s">
        <v>196</v>
      </c>
      <c r="DZ64" s="348" t="s">
        <v>198</v>
      </c>
      <c r="EA64" s="348" t="s">
        <v>200</v>
      </c>
      <c r="EB64" s="349" t="s">
        <v>202</v>
      </c>
      <c r="EC64" s="350" t="s">
        <v>207</v>
      </c>
      <c r="ED64" s="348" t="s">
        <v>209</v>
      </c>
      <c r="EE64" s="348" t="s">
        <v>210</v>
      </c>
      <c r="EF64" s="348" t="s">
        <v>211</v>
      </c>
      <c r="EG64" s="350" t="s">
        <v>215</v>
      </c>
      <c r="EH64" s="348" t="s">
        <v>216</v>
      </c>
      <c r="EI64" s="348" t="s">
        <v>220</v>
      </c>
      <c r="EJ64" s="348" t="s">
        <v>225</v>
      </c>
      <c r="EK64" s="488" t="s">
        <v>230</v>
      </c>
      <c r="EL64" s="348" t="s">
        <v>232</v>
      </c>
      <c r="EM64" s="348" t="s">
        <v>237</v>
      </c>
      <c r="EN64" s="348" t="s">
        <v>239</v>
      </c>
      <c r="EO64" s="350" t="s">
        <v>246</v>
      </c>
      <c r="EP64" s="348" t="s">
        <v>247</v>
      </c>
      <c r="EQ64" s="348" t="s">
        <v>249</v>
      </c>
      <c r="ER64" s="348" t="s">
        <v>251</v>
      </c>
      <c r="ES64" s="488" t="s">
        <v>254</v>
      </c>
      <c r="ET64" s="348" t="s">
        <v>257</v>
      </c>
      <c r="EU64" s="348" t="s">
        <v>259</v>
      </c>
      <c r="EV64" s="348" t="s">
        <v>261</v>
      </c>
      <c r="EW64" s="350" t="s">
        <v>263</v>
      </c>
      <c r="EX64" s="348" t="s">
        <v>264</v>
      </c>
      <c r="EY64" s="348" t="s">
        <v>266</v>
      </c>
      <c r="EZ64" s="348" t="s">
        <v>268</v>
      </c>
      <c r="FA64" s="350" t="s">
        <v>274</v>
      </c>
      <c r="FB64" s="348" t="s">
        <v>275</v>
      </c>
      <c r="FC64" s="348" t="s">
        <v>277</v>
      </c>
      <c r="FD64" s="348" t="s">
        <v>279</v>
      </c>
      <c r="FE64" s="350" t="s">
        <v>281</v>
      </c>
      <c r="FF64" s="348" t="s">
        <v>282</v>
      </c>
      <c r="FG64" s="348" t="s">
        <v>286</v>
      </c>
      <c r="FH64" s="348" t="s">
        <v>291</v>
      </c>
      <c r="FI64" s="350" t="s">
        <v>293</v>
      </c>
      <c r="FJ64" s="348" t="s">
        <v>294</v>
      </c>
      <c r="FK64" s="348" t="s">
        <v>296</v>
      </c>
      <c r="FL64" s="348" t="s">
        <v>291</v>
      </c>
      <c r="FM64" s="247"/>
      <c r="FN64" s="389" t="s">
        <v>173</v>
      </c>
      <c r="FO64" s="389" t="s">
        <v>169</v>
      </c>
      <c r="FP64" s="389" t="s">
        <v>174</v>
      </c>
      <c r="FQ64" s="389" t="s">
        <v>199</v>
      </c>
      <c r="FR64" s="389" t="s">
        <v>201</v>
      </c>
      <c r="FS64" s="389" t="s">
        <v>206</v>
      </c>
      <c r="FT64" s="389" t="s">
        <v>208</v>
      </c>
      <c r="FU64" s="389" t="s">
        <v>212</v>
      </c>
      <c r="FV64" s="389" t="s">
        <v>213</v>
      </c>
      <c r="FW64" s="389" t="s">
        <v>217</v>
      </c>
      <c r="FX64" s="389" t="s">
        <v>221</v>
      </c>
      <c r="FY64" s="389" t="s">
        <v>224</v>
      </c>
      <c r="FZ64" s="389" t="s">
        <v>231</v>
      </c>
      <c r="GA64" s="389" t="s">
        <v>238</v>
      </c>
      <c r="GB64" s="389" t="s">
        <v>240</v>
      </c>
      <c r="GC64" s="389" t="s">
        <v>248</v>
      </c>
      <c r="GD64" s="389" t="s">
        <v>250</v>
      </c>
      <c r="GE64" s="389" t="s">
        <v>253</v>
      </c>
      <c r="GF64" s="389" t="s">
        <v>258</v>
      </c>
      <c r="GG64" s="389" t="s">
        <v>260</v>
      </c>
      <c r="GH64" s="389" t="s">
        <v>262</v>
      </c>
      <c r="GI64" s="389" t="s">
        <v>265</v>
      </c>
      <c r="GJ64" s="389" t="s">
        <v>267</v>
      </c>
      <c r="GK64" s="389" t="s">
        <v>273</v>
      </c>
      <c r="GL64" s="389" t="s">
        <v>276</v>
      </c>
      <c r="GM64" s="389" t="s">
        <v>278</v>
      </c>
      <c r="GN64" s="389" t="s">
        <v>280</v>
      </c>
      <c r="GO64" s="389" t="s">
        <v>285</v>
      </c>
      <c r="GP64" s="389" t="s">
        <v>289</v>
      </c>
      <c r="GQ64" s="389" t="s">
        <v>292</v>
      </c>
      <c r="GR64" s="389" t="s">
        <v>295</v>
      </c>
      <c r="GS64" s="389" t="s">
        <v>307</v>
      </c>
      <c r="GT64" s="389" t="s">
        <v>321</v>
      </c>
    </row>
    <row r="65" spans="1:202" ht="15.75">
      <c r="A65" s="98" t="s">
        <v>58</v>
      </c>
      <c r="B65" s="98" t="s">
        <v>2</v>
      </c>
      <c r="C65" s="254">
        <f aca="true" t="shared" si="117" ref="C65:AH65">C124+C171</f>
        <v>425.882</v>
      </c>
      <c r="D65" s="254">
        <f t="shared" si="117"/>
        <v>366.02199999999993</v>
      </c>
      <c r="E65" s="254">
        <f t="shared" si="117"/>
        <v>402.4640000000001</v>
      </c>
      <c r="F65" s="255">
        <f t="shared" si="117"/>
        <v>428.39</v>
      </c>
      <c r="G65" s="253">
        <f t="shared" si="117"/>
        <v>412.7</v>
      </c>
      <c r="H65" s="254">
        <f t="shared" si="117"/>
        <v>424.642</v>
      </c>
      <c r="I65" s="254">
        <f t="shared" si="117"/>
        <v>368.6580000000001</v>
      </c>
      <c r="J65" s="255">
        <f t="shared" si="117"/>
        <v>418.3999999999999</v>
      </c>
      <c r="K65" s="253">
        <f t="shared" si="117"/>
        <v>435.9</v>
      </c>
      <c r="L65" s="254">
        <f t="shared" si="117"/>
        <v>424.12800000000004</v>
      </c>
      <c r="M65" s="254">
        <f t="shared" si="117"/>
        <v>380.02700000000004</v>
      </c>
      <c r="N65" s="255">
        <f t="shared" si="117"/>
        <v>439.945</v>
      </c>
      <c r="O65" s="253">
        <f t="shared" si="117"/>
        <v>448.154</v>
      </c>
      <c r="P65" s="254">
        <f t="shared" si="117"/>
        <v>447.23900000000003</v>
      </c>
      <c r="Q65" s="254">
        <f t="shared" si="117"/>
        <v>367.8709999999999</v>
      </c>
      <c r="R65" s="254">
        <f t="shared" si="117"/>
        <v>431.4329999999999</v>
      </c>
      <c r="S65" s="253">
        <f t="shared" si="117"/>
        <v>456.09999999999997</v>
      </c>
      <c r="T65" s="254">
        <f t="shared" si="117"/>
        <v>449.90000000000003</v>
      </c>
      <c r="U65" s="254">
        <f t="shared" si="117"/>
        <v>458.56300000000005</v>
      </c>
      <c r="V65" s="254">
        <f t="shared" si="117"/>
        <v>471.05299999999994</v>
      </c>
      <c r="W65" s="253">
        <f t="shared" si="117"/>
        <v>446.125</v>
      </c>
      <c r="X65" s="254">
        <f t="shared" si="117"/>
        <v>454.12</v>
      </c>
      <c r="Y65" s="254">
        <f t="shared" si="117"/>
        <v>425.05500000000006</v>
      </c>
      <c r="Z65" s="254">
        <f t="shared" si="117"/>
        <v>421.6</v>
      </c>
      <c r="AA65" s="253">
        <f t="shared" si="117"/>
        <v>431.04900000000004</v>
      </c>
      <c r="AB65" s="254">
        <f t="shared" si="117"/>
        <v>402.78299999999996</v>
      </c>
      <c r="AC65" s="254">
        <f t="shared" si="117"/>
        <v>401.674</v>
      </c>
      <c r="AD65" s="254">
        <f t="shared" si="117"/>
        <v>472.1500000000001</v>
      </c>
      <c r="AE65" s="253">
        <f t="shared" si="117"/>
        <v>462.53299999999996</v>
      </c>
      <c r="AF65" s="254">
        <f t="shared" si="117"/>
        <v>489.60999999999996</v>
      </c>
      <c r="AG65" s="254">
        <f t="shared" si="117"/>
        <v>615.979</v>
      </c>
      <c r="AH65" s="269">
        <f t="shared" si="117"/>
        <v>632.6780000000001</v>
      </c>
      <c r="AI65" s="464">
        <f aca="true" t="shared" si="118" ref="AI65:BD65">AI124+AI171</f>
        <v>648.443</v>
      </c>
      <c r="AJ65" s="254">
        <f t="shared" si="118"/>
        <v>609.557</v>
      </c>
      <c r="AK65" s="254">
        <f t="shared" si="118"/>
        <v>664.655</v>
      </c>
      <c r="AL65" s="254">
        <f t="shared" si="118"/>
        <v>672.0270000000002</v>
      </c>
      <c r="AM65" s="464">
        <f t="shared" si="118"/>
        <v>666.776</v>
      </c>
      <c r="AN65" s="254">
        <f t="shared" si="118"/>
        <v>618.152</v>
      </c>
      <c r="AO65" s="254">
        <f t="shared" si="118"/>
        <v>686.4740000000002</v>
      </c>
      <c r="AP65" s="254">
        <f t="shared" si="118"/>
        <v>644.72</v>
      </c>
      <c r="AQ65" s="253">
        <f t="shared" si="118"/>
        <v>680.857</v>
      </c>
      <c r="AR65" s="254">
        <f t="shared" si="118"/>
        <v>681.0350000000002</v>
      </c>
      <c r="AS65" s="254">
        <f t="shared" si="118"/>
        <v>687.0409999999999</v>
      </c>
      <c r="AT65" s="254">
        <f t="shared" si="118"/>
        <v>533.9429999999999</v>
      </c>
      <c r="AU65" s="464">
        <f t="shared" si="118"/>
        <v>676.912</v>
      </c>
      <c r="AV65" s="254">
        <f t="shared" si="118"/>
        <v>696.938</v>
      </c>
      <c r="AW65" s="254">
        <f t="shared" si="118"/>
        <v>697.5759999999999</v>
      </c>
      <c r="AX65" s="269">
        <f t="shared" si="118"/>
        <v>657.9430000000001</v>
      </c>
      <c r="AY65" s="253">
        <f t="shared" si="118"/>
        <v>687.873</v>
      </c>
      <c r="AZ65" s="254">
        <f t="shared" si="118"/>
        <v>727.602</v>
      </c>
      <c r="BA65" s="254">
        <f t="shared" si="118"/>
        <v>748.389</v>
      </c>
      <c r="BB65" s="254">
        <f t="shared" si="118"/>
        <v>745.4080000000002</v>
      </c>
      <c r="BC65" s="253">
        <f t="shared" si="118"/>
        <v>744.253</v>
      </c>
      <c r="BD65" s="254">
        <f t="shared" si="118"/>
        <v>654.012</v>
      </c>
      <c r="BE65" s="254">
        <f aca="true" t="shared" si="119" ref="BE65:BJ65">BE124+BE171</f>
        <v>723.2279999999998</v>
      </c>
      <c r="BF65" s="254">
        <f t="shared" si="119"/>
        <v>694.863</v>
      </c>
      <c r="BG65" s="253">
        <f t="shared" si="119"/>
        <v>749.942</v>
      </c>
      <c r="BH65" s="254">
        <f t="shared" si="119"/>
        <v>757.5469999999999</v>
      </c>
      <c r="BI65" s="254">
        <f t="shared" si="119"/>
        <v>678.943</v>
      </c>
      <c r="BJ65" s="254">
        <f t="shared" si="119"/>
        <v>765.7990000000002</v>
      </c>
      <c r="BK65" s="619"/>
      <c r="BL65" s="86">
        <f aca="true" t="shared" si="120" ref="BL65:CI65">BL124+BL171</f>
        <v>66.5196</v>
      </c>
      <c r="BM65" s="86">
        <f t="shared" si="120"/>
        <v>29.23871</v>
      </c>
      <c r="BN65" s="86">
        <f t="shared" si="120"/>
        <v>52.95067</v>
      </c>
      <c r="BO65" s="87">
        <f t="shared" si="120"/>
        <v>91.03710999999998</v>
      </c>
      <c r="BP65" s="88">
        <f t="shared" si="120"/>
        <v>65</v>
      </c>
      <c r="BQ65" s="89">
        <f t="shared" si="120"/>
        <v>61.38201</v>
      </c>
      <c r="BR65" s="89">
        <f t="shared" si="120"/>
        <v>66.81799</v>
      </c>
      <c r="BS65" s="90">
        <f t="shared" si="120"/>
        <v>45.20000000000002</v>
      </c>
      <c r="BT65" s="88">
        <f t="shared" si="120"/>
        <v>43.903999999999996</v>
      </c>
      <c r="BU65" s="89">
        <f t="shared" si="120"/>
        <v>47.16841</v>
      </c>
      <c r="BV65" s="89">
        <f t="shared" si="120"/>
        <v>35.94359</v>
      </c>
      <c r="BW65" s="90">
        <f t="shared" si="120"/>
        <v>53.383999999999986</v>
      </c>
      <c r="BX65" s="88">
        <f t="shared" si="120"/>
        <v>30.101000000000003</v>
      </c>
      <c r="BY65" s="89">
        <f t="shared" si="120"/>
        <v>31.998279999999998</v>
      </c>
      <c r="BZ65" s="89">
        <f t="shared" si="120"/>
        <v>43.10072000000001</v>
      </c>
      <c r="CA65" s="89">
        <f t="shared" si="120"/>
        <v>37.15011999999999</v>
      </c>
      <c r="CB65" s="88">
        <f t="shared" si="120"/>
        <v>19.7</v>
      </c>
      <c r="CC65" s="89">
        <f t="shared" si="120"/>
        <v>44.5151</v>
      </c>
      <c r="CD65" s="89">
        <f t="shared" si="120"/>
        <v>32.017219999999995</v>
      </c>
      <c r="CE65" s="89">
        <f t="shared" si="120"/>
        <v>40.26768000000001</v>
      </c>
      <c r="CF65" s="88">
        <f t="shared" si="120"/>
        <v>4.98454</v>
      </c>
      <c r="CG65" s="89">
        <f t="shared" si="120"/>
        <v>26.036119999999997</v>
      </c>
      <c r="CH65" s="89">
        <f t="shared" si="120"/>
        <v>24.279339999999998</v>
      </c>
      <c r="CI65" s="89">
        <f t="shared" si="120"/>
        <v>41.90000000000001</v>
      </c>
      <c r="CJ65" s="88">
        <f aca="true" t="shared" si="121" ref="CJ65:DM65">CJ124-CJ125+CJ171-CJ172</f>
        <v>1.9799699999999998</v>
      </c>
      <c r="CK65" s="89">
        <f t="shared" si="121"/>
        <v>3.0008799999999987</v>
      </c>
      <c r="CL65" s="89">
        <f t="shared" si="121"/>
        <v>3.846930000000002</v>
      </c>
      <c r="CM65" s="404">
        <f t="shared" si="121"/>
        <v>0.6075</v>
      </c>
      <c r="CN65" s="88">
        <f t="shared" si="121"/>
        <v>0</v>
      </c>
      <c r="CO65" s="89">
        <f t="shared" si="121"/>
        <v>33.67704</v>
      </c>
      <c r="CP65" s="89">
        <f t="shared" si="121"/>
        <v>133.65543</v>
      </c>
      <c r="CQ65" s="89">
        <f t="shared" si="121"/>
        <v>135.57343</v>
      </c>
      <c r="CR65" s="470">
        <f t="shared" si="121"/>
        <v>155.77665</v>
      </c>
      <c r="CS65" s="89">
        <f t="shared" si="121"/>
        <v>102.18662000000003</v>
      </c>
      <c r="CT65" s="89">
        <f t="shared" si="121"/>
        <v>142.70712999999995</v>
      </c>
      <c r="CU65" s="89">
        <f t="shared" si="121"/>
        <v>143.29007000000001</v>
      </c>
      <c r="CV65" s="88">
        <f t="shared" si="121"/>
        <v>115.79628999999998</v>
      </c>
      <c r="CW65" s="89">
        <f t="shared" si="121"/>
        <v>99.00581</v>
      </c>
      <c r="CX65" s="89">
        <f t="shared" si="121"/>
        <v>153.59769</v>
      </c>
      <c r="CY65" s="89">
        <f t="shared" si="121"/>
        <v>77.79165000000006</v>
      </c>
      <c r="CZ65" s="88">
        <f t="shared" si="121"/>
        <v>86.10543000000001</v>
      </c>
      <c r="DA65" s="89">
        <f t="shared" si="121"/>
        <v>85.11192999999999</v>
      </c>
      <c r="DB65" s="89">
        <f t="shared" si="121"/>
        <v>71.12879000000002</v>
      </c>
      <c r="DC65" s="89">
        <f t="shared" si="121"/>
        <v>46.78977999999998</v>
      </c>
      <c r="DD65" s="88">
        <f t="shared" si="121"/>
        <v>40.71994</v>
      </c>
      <c r="DE65" s="89">
        <f t="shared" si="121"/>
        <v>23.40185</v>
      </c>
      <c r="DF65" s="89">
        <f t="shared" si="121"/>
        <v>23.089649999999992</v>
      </c>
      <c r="DG65" s="89">
        <f t="shared" si="121"/>
        <v>20.77307000000001</v>
      </c>
      <c r="DH65" s="88">
        <f t="shared" si="121"/>
        <v>14.02692</v>
      </c>
      <c r="DI65" s="89">
        <f t="shared" si="121"/>
        <v>23.930520000000005</v>
      </c>
      <c r="DJ65" s="89">
        <f t="shared" si="121"/>
        <v>14.13355</v>
      </c>
      <c r="DK65" s="89">
        <f t="shared" si="121"/>
        <v>3.9933299999999967</v>
      </c>
      <c r="DL65" s="88">
        <f t="shared" si="121"/>
        <v>10.60927</v>
      </c>
      <c r="DM65" s="89">
        <f t="shared" si="121"/>
        <v>2.096309999999999</v>
      </c>
      <c r="DN65" s="89">
        <f aca="true" t="shared" si="122" ref="DN65:DS65">DN124-DN125+DN171-DN172</f>
        <v>0</v>
      </c>
      <c r="DO65" s="89">
        <f t="shared" si="122"/>
        <v>0</v>
      </c>
      <c r="DP65" s="88">
        <f t="shared" si="122"/>
        <v>0</v>
      </c>
      <c r="DQ65" s="89">
        <f t="shared" si="122"/>
        <v>0</v>
      </c>
      <c r="DR65" s="89">
        <f t="shared" si="122"/>
        <v>0</v>
      </c>
      <c r="DS65" s="89">
        <f t="shared" si="122"/>
        <v>0</v>
      </c>
      <c r="DT65" s="91"/>
      <c r="DU65" s="92">
        <v>22.1</v>
      </c>
      <c r="DV65" s="92">
        <v>30.5</v>
      </c>
      <c r="DW65" s="92">
        <v>45.4</v>
      </c>
      <c r="DX65" s="338">
        <v>45</v>
      </c>
      <c r="DY65" s="339">
        <v>6.75539</v>
      </c>
      <c r="DZ65" s="92">
        <f>FQ65-DY65</f>
        <v>25.928840000000015</v>
      </c>
      <c r="EA65" s="92">
        <f>FR65-FQ65</f>
        <v>12.587839999999986</v>
      </c>
      <c r="EB65" s="338">
        <f>FS65-FR65</f>
        <v>48.66302000000002</v>
      </c>
      <c r="EC65" s="339">
        <v>0.98712</v>
      </c>
      <c r="ED65" s="92">
        <f>FT65-EC65</f>
        <v>3.0008799999999995</v>
      </c>
      <c r="EE65" s="92">
        <f>FU65-EC65-ED65</f>
        <v>9.911289999999997</v>
      </c>
      <c r="EF65" s="92">
        <f>FV65-EE65-ED65-EC65</f>
        <v>4.573499999999996</v>
      </c>
      <c r="EG65" s="339">
        <v>0</v>
      </c>
      <c r="EH65" s="92">
        <f>FW65-EG65</f>
        <v>25.504</v>
      </c>
      <c r="EI65" s="92">
        <f>FX65-EH65-EG65</f>
        <v>124.22579000000003</v>
      </c>
      <c r="EJ65" s="92">
        <f>FY65-EI65-EH65-EG65</f>
        <v>119.46888999999994</v>
      </c>
      <c r="EK65" s="489">
        <v>162.40422</v>
      </c>
      <c r="EL65" s="92">
        <f>FZ65-EK65</f>
        <v>118.49701700000003</v>
      </c>
      <c r="EM65" s="92">
        <f>GA65-EL65-EK65</f>
        <v>144.24849999999992</v>
      </c>
      <c r="EN65" s="92">
        <f>GB65-EM65-EL65-EK65</f>
        <v>130.5860029999999</v>
      </c>
      <c r="EO65" s="339">
        <v>113.95442000000001</v>
      </c>
      <c r="EP65" s="92">
        <f>GC65-EO65</f>
        <v>105.05</v>
      </c>
      <c r="EQ65" s="92">
        <f>GD65-GC65</f>
        <v>126.09200000000001</v>
      </c>
      <c r="ER65" s="92">
        <f>GE65-GD65</f>
        <v>102.86875000000003</v>
      </c>
      <c r="ES65" s="489">
        <v>86.89999999999998</v>
      </c>
      <c r="ET65" s="92">
        <f>GF65-ES65</f>
        <v>95.20000000000005</v>
      </c>
      <c r="EU65" s="92">
        <f>GG65-ET65-ES65</f>
        <v>100.10789699999998</v>
      </c>
      <c r="EV65" s="92">
        <f>GH65-GG65</f>
        <v>21.94758399999995</v>
      </c>
      <c r="EW65" s="339">
        <v>41.258748000000004</v>
      </c>
      <c r="EX65" s="92">
        <f>GI65-EW65</f>
        <v>13.750390000000003</v>
      </c>
      <c r="EY65" s="92">
        <f>GJ65-EX65-EW65</f>
        <v>33.50484699999998</v>
      </c>
      <c r="EZ65" s="92">
        <f>GK65-GJ65</f>
        <v>27.501542000000015</v>
      </c>
      <c r="FA65" s="339">
        <v>13.751076000000001</v>
      </c>
      <c r="FB65" s="92">
        <f>GL65-FA65</f>
        <v>21.553755999999996</v>
      </c>
      <c r="FC65" s="92">
        <f>GM65-GL65</f>
        <v>19.387499999999996</v>
      </c>
      <c r="FD65" s="92">
        <f>GN65-GM65</f>
        <v>1.0074230000000028</v>
      </c>
      <c r="FE65" s="339">
        <v>0</v>
      </c>
      <c r="FF65" s="92">
        <f>GO65-FE65</f>
        <v>0</v>
      </c>
      <c r="FG65" s="92">
        <f>GP65-GO65</f>
        <v>0</v>
      </c>
      <c r="FH65" s="92">
        <f>GQ65-GP65</f>
        <v>12.570219000000002</v>
      </c>
      <c r="FI65" s="339">
        <v>0</v>
      </c>
      <c r="FJ65" s="92">
        <f>GR65-FI65</f>
        <v>0</v>
      </c>
      <c r="FK65" s="92">
        <f>GS65-GR65</f>
        <v>0</v>
      </c>
      <c r="FL65" s="92">
        <f>GT65-GS65</f>
        <v>0</v>
      </c>
      <c r="FM65" s="63"/>
      <c r="FN65" s="418">
        <v>52.6</v>
      </c>
      <c r="FO65" s="418">
        <v>98</v>
      </c>
      <c r="FP65" s="418">
        <v>142.97315</v>
      </c>
      <c r="FQ65" s="418">
        <v>32.684230000000014</v>
      </c>
      <c r="FR65" s="418">
        <v>45.27207</v>
      </c>
      <c r="FS65" s="418">
        <v>93.93509000000002</v>
      </c>
      <c r="FT65" s="418">
        <v>3.9879999999999995</v>
      </c>
      <c r="FU65" s="418">
        <v>13.899289999999997</v>
      </c>
      <c r="FV65" s="418">
        <v>18.472789999999993</v>
      </c>
      <c r="FW65" s="418">
        <v>25.504</v>
      </c>
      <c r="FX65" s="446">
        <v>149.72979000000004</v>
      </c>
      <c r="FY65" s="446">
        <v>269.19867999999997</v>
      </c>
      <c r="FZ65" s="446">
        <v>280.90123700000004</v>
      </c>
      <c r="GA65" s="446">
        <v>425.14973699999996</v>
      </c>
      <c r="GB65" s="446">
        <v>555.7357399999999</v>
      </c>
      <c r="GC65" s="446">
        <v>219.00442</v>
      </c>
      <c r="GD65" s="446">
        <v>345.09642</v>
      </c>
      <c r="GE65" s="446">
        <v>447.96517000000006</v>
      </c>
      <c r="GF65" s="446">
        <v>182.10000000000002</v>
      </c>
      <c r="GG65" s="446">
        <v>282.207897</v>
      </c>
      <c r="GH65" s="446">
        <v>304.15548099999995</v>
      </c>
      <c r="GI65" s="446">
        <v>55.00913800000001</v>
      </c>
      <c r="GJ65" s="446">
        <v>88.51398499999999</v>
      </c>
      <c r="GK65" s="446">
        <v>116.015527</v>
      </c>
      <c r="GL65" s="446">
        <v>35.304832</v>
      </c>
      <c r="GM65" s="446">
        <v>54.69233199999999</v>
      </c>
      <c r="GN65" s="446">
        <v>55.699754999999996</v>
      </c>
      <c r="GO65" s="446">
        <v>0</v>
      </c>
      <c r="GP65" s="446">
        <v>0</v>
      </c>
      <c r="GQ65" s="446">
        <v>12.570219000000002</v>
      </c>
      <c r="GR65" s="446">
        <v>0</v>
      </c>
      <c r="GS65" s="446">
        <v>0</v>
      </c>
      <c r="GT65" s="446">
        <v>0</v>
      </c>
    </row>
    <row r="66" spans="1:202" ht="15.75">
      <c r="A66" s="100" t="s">
        <v>104</v>
      </c>
      <c r="B66" s="100" t="s">
        <v>93</v>
      </c>
      <c r="C66" s="257">
        <f aca="true" t="shared" si="123" ref="C66:Z66">C125+C172</f>
        <v>364.30964</v>
      </c>
      <c r="D66" s="257">
        <f t="shared" si="123"/>
        <v>339.60561</v>
      </c>
      <c r="E66" s="257">
        <f t="shared" si="123"/>
        <v>341.55917999999997</v>
      </c>
      <c r="F66" s="258">
        <f t="shared" si="123"/>
        <v>340.26577</v>
      </c>
      <c r="G66" s="256">
        <f t="shared" si="123"/>
        <v>348.4</v>
      </c>
      <c r="H66" s="257">
        <f t="shared" si="123"/>
        <v>360.98386000000005</v>
      </c>
      <c r="I66" s="257">
        <f t="shared" si="123"/>
        <v>307.1161400000001</v>
      </c>
      <c r="J66" s="258">
        <f t="shared" si="123"/>
        <v>375.3137599999999</v>
      </c>
      <c r="K66" s="256">
        <f t="shared" si="123"/>
        <v>388.4</v>
      </c>
      <c r="L66" s="257">
        <f t="shared" si="123"/>
        <v>370.72271</v>
      </c>
      <c r="M66" s="257">
        <f t="shared" si="123"/>
        <v>347.5304800000001</v>
      </c>
      <c r="N66" s="258">
        <f t="shared" si="123"/>
        <v>392.3468099999999</v>
      </c>
      <c r="O66" s="256">
        <f t="shared" si="123"/>
        <v>416.05368</v>
      </c>
      <c r="P66" s="257">
        <f t="shared" si="123"/>
        <v>407.97858</v>
      </c>
      <c r="Q66" s="257">
        <f t="shared" si="123"/>
        <v>331.32361999999995</v>
      </c>
      <c r="R66" s="257">
        <f t="shared" si="123"/>
        <v>396.6825</v>
      </c>
      <c r="S66" s="256">
        <f t="shared" si="123"/>
        <v>429.29999999999995</v>
      </c>
      <c r="T66" s="257">
        <f t="shared" si="123"/>
        <v>407.5</v>
      </c>
      <c r="U66" s="257">
        <f t="shared" si="123"/>
        <v>426.69889</v>
      </c>
      <c r="V66" s="257">
        <f t="shared" si="123"/>
        <v>434.82534999999996</v>
      </c>
      <c r="W66" s="256">
        <f t="shared" si="123"/>
        <v>439.23316</v>
      </c>
      <c r="X66" s="257">
        <f t="shared" si="123"/>
        <v>424.63107</v>
      </c>
      <c r="Y66" s="257">
        <f t="shared" si="123"/>
        <v>408.03576999999996</v>
      </c>
      <c r="Z66" s="257">
        <f t="shared" si="123"/>
        <v>378.4000000000001</v>
      </c>
      <c r="AA66" s="256">
        <f aca="true" t="shared" si="124" ref="AA66:AG66">AA125+AA172+CJ172</f>
        <v>432.09801</v>
      </c>
      <c r="AB66" s="257">
        <f t="shared" si="124"/>
        <v>397.01563999999996</v>
      </c>
      <c r="AC66" s="257">
        <f t="shared" si="124"/>
        <v>399.0063700000002</v>
      </c>
      <c r="AD66" s="257">
        <f t="shared" si="124"/>
        <v>469.4344629999998</v>
      </c>
      <c r="AE66" s="256">
        <f t="shared" si="124"/>
        <v>461.1379</v>
      </c>
      <c r="AF66" s="257">
        <f t="shared" si="124"/>
        <v>457.9177</v>
      </c>
      <c r="AG66" s="257">
        <f t="shared" si="124"/>
        <v>477.44779000000005</v>
      </c>
      <c r="AH66" s="268">
        <f>AH125+AH172+CQ172+12.43598</f>
        <v>498.91237</v>
      </c>
      <c r="AI66" s="465">
        <f>AI125+AI172+CR172</f>
        <v>492.21325</v>
      </c>
      <c r="AJ66" s="257">
        <f>AJ125+AJ172+CS172</f>
        <v>503.68674999999996</v>
      </c>
      <c r="AK66" s="257">
        <f>AK125+AK172+CT172+11.44707</f>
        <v>522.1745500000002</v>
      </c>
      <c r="AL66" s="257">
        <f>AL125+AL172+CU172+10.38534</f>
        <v>526.05305</v>
      </c>
      <c r="AM66" s="465">
        <f>AM125+AM172+CX172+CV125</f>
        <v>558.45555</v>
      </c>
      <c r="AN66" s="257">
        <f>AN125+AN172+DU172+CW125</f>
        <v>516.27079</v>
      </c>
      <c r="AO66" s="257">
        <f>AO125+AO172+DV172+CX125</f>
        <v>530.9505399999999</v>
      </c>
      <c r="AP66" s="257">
        <f aca="true" t="shared" si="125" ref="AP66:AW66">AP125+AP172+CY172+CY125</f>
        <v>572.2738300000003</v>
      </c>
      <c r="AQ66" s="256">
        <f t="shared" si="125"/>
        <v>591.88151</v>
      </c>
      <c r="AR66" s="257">
        <f t="shared" si="125"/>
        <v>597.5753199999999</v>
      </c>
      <c r="AS66" s="257">
        <f t="shared" si="125"/>
        <v>605.2839690000001</v>
      </c>
      <c r="AT66" s="257">
        <f t="shared" si="125"/>
        <v>496.65297100000015</v>
      </c>
      <c r="AU66" s="465">
        <f t="shared" si="125"/>
        <v>634.003589</v>
      </c>
      <c r="AV66" s="257">
        <f t="shared" si="125"/>
        <v>672.1806999999999</v>
      </c>
      <c r="AW66" s="257">
        <f t="shared" si="125"/>
        <v>673.98577</v>
      </c>
      <c r="AX66" s="268">
        <f>AX125+AX172+DT172+DT125</f>
        <v>637.2679699999999</v>
      </c>
      <c r="AY66" s="256">
        <f>AY125+AY172+DU172+DU125</f>
        <v>676.6551539999999</v>
      </c>
      <c r="AZ66" s="257">
        <f>AZ125+AZ172+DT172+DT125</f>
        <v>700.3899300000002</v>
      </c>
      <c r="BA66" s="257">
        <f aca="true" t="shared" si="126" ref="BA66:BJ66">BA125+BA172+DJ172+DJ125</f>
        <v>735.726329</v>
      </c>
      <c r="BB66" s="257">
        <f t="shared" si="126"/>
        <v>732.1828999999994</v>
      </c>
      <c r="BC66" s="256">
        <f t="shared" si="126"/>
        <v>747.386971</v>
      </c>
      <c r="BD66" s="257">
        <f t="shared" si="126"/>
        <v>641.725639</v>
      </c>
      <c r="BE66" s="257">
        <f t="shared" si="126"/>
        <v>732.3308999999998</v>
      </c>
      <c r="BF66" s="257">
        <f t="shared" si="126"/>
        <v>694.5023500000005</v>
      </c>
      <c r="BG66" s="256">
        <f t="shared" si="126"/>
        <v>751.6083999999998</v>
      </c>
      <c r="BH66" s="257">
        <f t="shared" si="126"/>
        <v>756.0063003300002</v>
      </c>
      <c r="BI66" s="257">
        <f t="shared" si="126"/>
        <v>678.5455499999999</v>
      </c>
      <c r="BJ66" s="257">
        <f t="shared" si="126"/>
        <v>768.2174490000002</v>
      </c>
      <c r="BK66" s="619"/>
      <c r="BL66" s="104"/>
      <c r="BM66" s="104"/>
      <c r="BN66" s="104"/>
      <c r="BO66" s="105"/>
      <c r="BP66" s="106"/>
      <c r="BQ66" s="107"/>
      <c r="BR66" s="107"/>
      <c r="BS66" s="108"/>
      <c r="BT66" s="106"/>
      <c r="BU66" s="107"/>
      <c r="BV66" s="107"/>
      <c r="BW66" s="108"/>
      <c r="BX66" s="106"/>
      <c r="BY66" s="107"/>
      <c r="BZ66" s="107"/>
      <c r="CA66" s="107"/>
      <c r="CB66" s="106"/>
      <c r="CC66" s="107"/>
      <c r="CD66" s="107"/>
      <c r="CE66" s="107"/>
      <c r="CF66" s="106"/>
      <c r="CG66" s="107"/>
      <c r="CH66" s="107"/>
      <c r="CI66" s="107"/>
      <c r="CJ66" s="106"/>
      <c r="CK66" s="107"/>
      <c r="CL66" s="107"/>
      <c r="CM66" s="405"/>
      <c r="CN66" s="106"/>
      <c r="CO66" s="107"/>
      <c r="CP66" s="107"/>
      <c r="CQ66" s="107"/>
      <c r="CR66" s="471"/>
      <c r="CS66" s="107"/>
      <c r="CT66" s="107"/>
      <c r="CU66" s="107"/>
      <c r="CV66" s="106"/>
      <c r="CW66" s="107"/>
      <c r="CX66" s="107"/>
      <c r="CY66" s="107"/>
      <c r="CZ66" s="106"/>
      <c r="DA66" s="107"/>
      <c r="DB66" s="107"/>
      <c r="DC66" s="107"/>
      <c r="DD66" s="106"/>
      <c r="DE66" s="107"/>
      <c r="DF66" s="107"/>
      <c r="DG66" s="107"/>
      <c r="DH66" s="106"/>
      <c r="DI66" s="107"/>
      <c r="DJ66" s="107"/>
      <c r="DK66" s="107"/>
      <c r="DL66" s="106"/>
      <c r="DM66" s="107"/>
      <c r="DN66" s="107"/>
      <c r="DO66" s="107"/>
      <c r="DP66" s="106"/>
      <c r="DQ66" s="107"/>
      <c r="DR66" s="107"/>
      <c r="DS66" s="107"/>
      <c r="DT66" s="91"/>
      <c r="DU66" s="109"/>
      <c r="DV66" s="109"/>
      <c r="DW66" s="109"/>
      <c r="DX66" s="340"/>
      <c r="DY66" s="341"/>
      <c r="DZ66" s="109"/>
      <c r="EA66" s="109"/>
      <c r="EB66" s="340"/>
      <c r="EC66" s="341"/>
      <c r="ED66" s="109"/>
      <c r="EE66" s="109"/>
      <c r="EF66" s="109"/>
      <c r="EG66" s="341"/>
      <c r="EH66" s="109"/>
      <c r="EI66" s="109"/>
      <c r="EJ66" s="109"/>
      <c r="EK66" s="420"/>
      <c r="EL66" s="109"/>
      <c r="EM66" s="109"/>
      <c r="EN66" s="109"/>
      <c r="EO66" s="341"/>
      <c r="EP66" s="109"/>
      <c r="EQ66" s="109"/>
      <c r="ER66" s="109"/>
      <c r="ES66" s="420"/>
      <c r="ET66" s="109"/>
      <c r="EU66" s="109"/>
      <c r="EV66" s="109"/>
      <c r="EW66" s="341"/>
      <c r="EX66" s="109"/>
      <c r="EY66" s="109"/>
      <c r="EZ66" s="109"/>
      <c r="FA66" s="341"/>
      <c r="FB66" s="109"/>
      <c r="FC66" s="109"/>
      <c r="FD66" s="109"/>
      <c r="FE66" s="341"/>
      <c r="FF66" s="109"/>
      <c r="FG66" s="109"/>
      <c r="FH66" s="109"/>
      <c r="FI66" s="341"/>
      <c r="FJ66" s="109"/>
      <c r="FK66" s="109"/>
      <c r="FL66" s="109"/>
      <c r="FM66" s="63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</row>
    <row r="67" spans="1:202" ht="15.75">
      <c r="A67" s="70" t="s">
        <v>205</v>
      </c>
      <c r="B67" s="70" t="s">
        <v>57</v>
      </c>
      <c r="C67" s="254">
        <f>C69+C71+C77</f>
        <v>630.7961399999999</v>
      </c>
      <c r="D67" s="254">
        <f aca="true" t="shared" si="127" ref="D67:AF67">D69+D71+D77</f>
        <v>512.9191000000001</v>
      </c>
      <c r="E67" s="254">
        <f t="shared" si="127"/>
        <v>533.91451</v>
      </c>
      <c r="F67" s="255">
        <f t="shared" si="127"/>
        <v>524.620445</v>
      </c>
      <c r="G67" s="253">
        <f t="shared" si="127"/>
        <v>571.1</v>
      </c>
      <c r="H67" s="254">
        <f t="shared" si="127"/>
        <v>562.94287</v>
      </c>
      <c r="I67" s="254">
        <f t="shared" si="127"/>
        <v>496.45713</v>
      </c>
      <c r="J67" s="255">
        <f t="shared" si="127"/>
        <v>629.7</v>
      </c>
      <c r="K67" s="253">
        <f t="shared" si="127"/>
        <v>635.87</v>
      </c>
      <c r="L67" s="254">
        <f t="shared" si="127"/>
        <v>603.9967650000001</v>
      </c>
      <c r="M67" s="254">
        <f t="shared" si="127"/>
        <v>560.0062350000001</v>
      </c>
      <c r="N67" s="255">
        <f t="shared" si="127"/>
        <v>620.227</v>
      </c>
      <c r="O67" s="253">
        <f t="shared" si="127"/>
        <v>688.2191899999999</v>
      </c>
      <c r="P67" s="254">
        <f t="shared" si="127"/>
        <v>738.9426000000001</v>
      </c>
      <c r="Q67" s="254">
        <f t="shared" si="127"/>
        <v>565.7333249999999</v>
      </c>
      <c r="R67" s="254">
        <f t="shared" si="127"/>
        <v>690.26926</v>
      </c>
      <c r="S67" s="253">
        <f t="shared" si="127"/>
        <v>752.6</v>
      </c>
      <c r="T67" s="254">
        <f t="shared" si="127"/>
        <v>710.6</v>
      </c>
      <c r="U67" s="254">
        <f t="shared" si="127"/>
        <v>766.70683</v>
      </c>
      <c r="V67" s="254">
        <f t="shared" si="127"/>
        <v>766.0158100000001</v>
      </c>
      <c r="W67" s="253">
        <f t="shared" si="127"/>
        <v>803.4875499999999</v>
      </c>
      <c r="X67" s="254">
        <f t="shared" si="127"/>
        <v>797.155475</v>
      </c>
      <c r="Y67" s="254">
        <f t="shared" si="127"/>
        <v>759.8569749999999</v>
      </c>
      <c r="Z67" s="254">
        <f t="shared" si="127"/>
        <v>656.3000000000002</v>
      </c>
      <c r="AA67" s="253">
        <f t="shared" si="127"/>
        <v>795.183765</v>
      </c>
      <c r="AB67" s="254">
        <f t="shared" si="127"/>
        <v>672.32152</v>
      </c>
      <c r="AC67" s="254">
        <f t="shared" si="127"/>
        <v>710.819465</v>
      </c>
      <c r="AD67" s="254">
        <f t="shared" si="127"/>
        <v>782.4297759999997</v>
      </c>
      <c r="AE67" s="253">
        <f t="shared" si="127"/>
        <v>851.971325</v>
      </c>
      <c r="AF67" s="254">
        <f t="shared" si="127"/>
        <v>889.791785</v>
      </c>
      <c r="AG67" s="254">
        <f aca="true" t="shared" si="128" ref="AG67:AL67">AG69+AG71+AG77</f>
        <v>924.4354499999998</v>
      </c>
      <c r="AH67" s="269">
        <f t="shared" si="128"/>
        <v>969.2908000000003</v>
      </c>
      <c r="AI67" s="464">
        <f t="shared" si="128"/>
        <v>976.125415</v>
      </c>
      <c r="AJ67" s="254">
        <f t="shared" si="128"/>
        <v>920.6218849999999</v>
      </c>
      <c r="AK67" s="254">
        <f t="shared" si="128"/>
        <v>938.8640450000003</v>
      </c>
      <c r="AL67" s="254">
        <f t="shared" si="128"/>
        <v>971.5568849999996</v>
      </c>
      <c r="AM67" s="464">
        <f aca="true" t="shared" si="129" ref="AM67:AR67">AM69+AM71+AM77</f>
        <v>1064.29551</v>
      </c>
      <c r="AN67" s="254">
        <f t="shared" si="129"/>
        <v>1016.5067949999998</v>
      </c>
      <c r="AO67" s="254">
        <f t="shared" si="129"/>
        <v>1021.5724749999999</v>
      </c>
      <c r="AP67" s="254">
        <f t="shared" si="129"/>
        <v>1132.9549400000003</v>
      </c>
      <c r="AQ67" s="253">
        <f t="shared" si="129"/>
        <v>1241.76226</v>
      </c>
      <c r="AR67" s="254">
        <f t="shared" si="129"/>
        <v>1319.1573350000003</v>
      </c>
      <c r="AS67" s="254">
        <f aca="true" t="shared" si="130" ref="AS67:AX67">AS69+AS71+AS77</f>
        <v>1325.73367246</v>
      </c>
      <c r="AT67" s="254">
        <f t="shared" si="130"/>
        <v>1046.0204949999998</v>
      </c>
      <c r="AU67" s="464">
        <f t="shared" si="130"/>
        <v>1114.3461849999999</v>
      </c>
      <c r="AV67" s="254">
        <f t="shared" si="130"/>
        <v>1327.28099</v>
      </c>
      <c r="AW67" s="254">
        <f t="shared" si="130"/>
        <v>1192.5513999999998</v>
      </c>
      <c r="AX67" s="269">
        <f t="shared" si="130"/>
        <v>1072.77116</v>
      </c>
      <c r="AY67" s="253">
        <f>AY69+AY71+AY77</f>
        <v>1170.12525</v>
      </c>
      <c r="AZ67" s="254">
        <f>AZ69+AZ71+AZ77</f>
        <v>1254.23505</v>
      </c>
      <c r="BA67" s="254">
        <f>BA69+BA71+BA77</f>
        <v>1325.3027499999998</v>
      </c>
      <c r="BB67" s="254">
        <f>BB69+BB71+BB77</f>
        <v>1308.5565999999994</v>
      </c>
      <c r="BC67" s="253">
        <f>BC69+BC71+BC77</f>
        <v>1444.33133</v>
      </c>
      <c r="BD67" s="254">
        <f aca="true" t="shared" si="131" ref="BD67:BI67">BD69+BD71+BD77+BD78</f>
        <v>1118.142912</v>
      </c>
      <c r="BE67" s="254">
        <f t="shared" si="131"/>
        <v>1465.1282999999996</v>
      </c>
      <c r="BF67" s="254">
        <f t="shared" si="131"/>
        <v>1472.1873500000004</v>
      </c>
      <c r="BG67" s="253">
        <f t="shared" si="131"/>
        <v>1465.1817500000002</v>
      </c>
      <c r="BH67" s="254">
        <f t="shared" si="131"/>
        <v>1413.9307000000001</v>
      </c>
      <c r="BI67" s="254">
        <f t="shared" si="131"/>
        <v>1104.2707</v>
      </c>
      <c r="BJ67" s="254">
        <f>BJ69+BJ71+BJ77+BJ78</f>
        <v>1330.502103</v>
      </c>
      <c r="BK67" s="619"/>
      <c r="BL67" s="86">
        <f aca="true" t="shared" si="132" ref="BL67:CN67">BL69+BL71+BL77</f>
        <v>569.08859</v>
      </c>
      <c r="BM67" s="86">
        <f t="shared" si="132"/>
        <v>490.88946</v>
      </c>
      <c r="BN67" s="86">
        <f t="shared" si="132"/>
        <v>469.4322540000001</v>
      </c>
      <c r="BO67" s="87">
        <f t="shared" si="132"/>
        <v>437.6774779999999</v>
      </c>
      <c r="BP67" s="88">
        <f t="shared" si="132"/>
        <v>474.1</v>
      </c>
      <c r="BQ67" s="89">
        <f t="shared" si="132"/>
        <v>514.8659299999999</v>
      </c>
      <c r="BR67" s="89">
        <f t="shared" si="132"/>
        <v>424.83407000000005</v>
      </c>
      <c r="BS67" s="90">
        <f t="shared" si="132"/>
        <v>510.29999999999995</v>
      </c>
      <c r="BT67" s="88">
        <f t="shared" si="132"/>
        <v>543.0999999999999</v>
      </c>
      <c r="BU67" s="89">
        <f t="shared" si="132"/>
        <v>537.835399</v>
      </c>
      <c r="BV67" s="89">
        <f t="shared" si="132"/>
        <v>483.7646010000001</v>
      </c>
      <c r="BW67" s="90">
        <f t="shared" si="132"/>
        <v>501.04774999999995</v>
      </c>
      <c r="BX67" s="88">
        <f t="shared" si="132"/>
        <v>596.8</v>
      </c>
      <c r="BY67" s="89">
        <f t="shared" si="132"/>
        <v>626.563</v>
      </c>
      <c r="BZ67" s="89">
        <f t="shared" si="132"/>
        <v>473.1370000000001</v>
      </c>
      <c r="CA67" s="89">
        <f t="shared" si="132"/>
        <v>552.2096300000001</v>
      </c>
      <c r="CB67" s="88">
        <f t="shared" si="132"/>
        <v>627.1</v>
      </c>
      <c r="CC67" s="89">
        <f t="shared" si="132"/>
        <v>615.6999999999999</v>
      </c>
      <c r="CD67" s="89">
        <f t="shared" si="132"/>
        <v>643.6988300000002</v>
      </c>
      <c r="CE67" s="89">
        <f t="shared" si="132"/>
        <v>654.0734199999999</v>
      </c>
      <c r="CF67" s="88">
        <f t="shared" si="132"/>
        <v>659.2286799999999</v>
      </c>
      <c r="CG67" s="89">
        <f t="shared" si="132"/>
        <v>668.1383599999999</v>
      </c>
      <c r="CH67" s="89">
        <f t="shared" si="132"/>
        <v>647.1329600000001</v>
      </c>
      <c r="CI67" s="89">
        <f t="shared" si="132"/>
        <v>518.1999999999999</v>
      </c>
      <c r="CJ67" s="88">
        <f t="shared" si="132"/>
        <v>663.61756</v>
      </c>
      <c r="CK67" s="89">
        <f t="shared" si="132"/>
        <v>558.1309499999999</v>
      </c>
      <c r="CL67" s="89">
        <f t="shared" si="132"/>
        <v>604.09229</v>
      </c>
      <c r="CM67" s="404">
        <f t="shared" si="132"/>
        <v>652.6062499999998</v>
      </c>
      <c r="CN67" s="88">
        <f t="shared" si="132"/>
        <v>691.1075099999999</v>
      </c>
      <c r="CO67" s="89">
        <f aca="true" t="shared" si="133" ref="CO67:CT67">CO69+CO71+CO77</f>
        <v>726.11082</v>
      </c>
      <c r="CP67" s="89">
        <f t="shared" si="133"/>
        <v>778.9309599999999</v>
      </c>
      <c r="CQ67" s="89">
        <f t="shared" si="133"/>
        <v>789.6513500000001</v>
      </c>
      <c r="CR67" s="470">
        <f t="shared" si="133"/>
        <v>710.60104</v>
      </c>
      <c r="CS67" s="89">
        <f t="shared" si="133"/>
        <v>649.5615700000001</v>
      </c>
      <c r="CT67" s="89">
        <f t="shared" si="133"/>
        <v>674.529298</v>
      </c>
      <c r="CU67" s="89">
        <f aca="true" t="shared" si="134" ref="CU67:DD67">CU69+CU71+CU77</f>
        <v>623.1972599999999</v>
      </c>
      <c r="CV67" s="88">
        <f t="shared" si="134"/>
        <v>817.0434399999999</v>
      </c>
      <c r="CW67" s="89">
        <f t="shared" si="134"/>
        <v>794.55334</v>
      </c>
      <c r="CX67" s="89">
        <f t="shared" si="134"/>
        <v>787.10153</v>
      </c>
      <c r="CY67" s="89">
        <f t="shared" si="134"/>
        <v>899.2433199999999</v>
      </c>
      <c r="CZ67" s="88">
        <f t="shared" si="134"/>
        <v>943.8647900000001</v>
      </c>
      <c r="DA67" s="89">
        <f t="shared" si="134"/>
        <v>1034.5167999999999</v>
      </c>
      <c r="DB67" s="89">
        <f t="shared" si="134"/>
        <v>1033.35822</v>
      </c>
      <c r="DC67" s="89">
        <f t="shared" si="134"/>
        <v>801.5149199999997</v>
      </c>
      <c r="DD67" s="88">
        <f t="shared" si="134"/>
        <v>947.2121350000001</v>
      </c>
      <c r="DE67" s="89">
        <f aca="true" t="shared" si="135" ref="DE67:DJ67">DE69+DE71+DE77</f>
        <v>1085.3962460000002</v>
      </c>
      <c r="DF67" s="89">
        <f t="shared" si="135"/>
        <v>1008.5491999999999</v>
      </c>
      <c r="DG67" s="89">
        <f t="shared" si="135"/>
        <v>946.4686100000001</v>
      </c>
      <c r="DH67" s="88">
        <f t="shared" si="135"/>
        <v>1026.58948</v>
      </c>
      <c r="DI67" s="89">
        <f t="shared" si="135"/>
        <v>984.2804500000001</v>
      </c>
      <c r="DJ67" s="89">
        <f t="shared" si="135"/>
        <v>970.8411900000001</v>
      </c>
      <c r="DK67" s="89">
        <f>DK69+DK71+DK77</f>
        <v>1095.7822379999998</v>
      </c>
      <c r="DL67" s="88">
        <f>DL69+DL71+DL77</f>
        <v>1250.425441</v>
      </c>
      <c r="DM67" s="89">
        <f aca="true" t="shared" si="136" ref="DM67:DR67">DM69+DM71+DM77+DM78</f>
        <v>848.8838239999999</v>
      </c>
      <c r="DN67" s="89">
        <f t="shared" si="136"/>
        <v>1285.4740980000001</v>
      </c>
      <c r="DO67" s="89">
        <f t="shared" si="136"/>
        <v>1227.604276</v>
      </c>
      <c r="DP67" s="88">
        <f t="shared" si="136"/>
        <v>1260.241409</v>
      </c>
      <c r="DQ67" s="89">
        <f t="shared" si="136"/>
        <v>1134.7967390000001</v>
      </c>
      <c r="DR67" s="89">
        <f t="shared" si="136"/>
        <v>1057.8299204999998</v>
      </c>
      <c r="DS67" s="89">
        <f>DS69+DS71+DS77+DS78</f>
        <v>1095.3359989999997</v>
      </c>
      <c r="DT67" s="91"/>
      <c r="DU67" s="92">
        <f aca="true" t="shared" si="137" ref="DU67:EA67">DU69+DU71+DU77</f>
        <v>565.7</v>
      </c>
      <c r="DV67" s="92">
        <f t="shared" si="137"/>
        <v>557</v>
      </c>
      <c r="DW67" s="92">
        <f t="shared" si="137"/>
        <v>703.5</v>
      </c>
      <c r="DX67" s="338">
        <f t="shared" si="137"/>
        <v>608.0000000000001</v>
      </c>
      <c r="DY67" s="339">
        <f t="shared" si="137"/>
        <v>618.18164</v>
      </c>
      <c r="DZ67" s="92">
        <f t="shared" si="137"/>
        <v>685.923796</v>
      </c>
      <c r="EA67" s="92">
        <f t="shared" si="137"/>
        <v>678.7737136</v>
      </c>
      <c r="EB67" s="338">
        <f>EB69+EB71+EB77</f>
        <v>528.6208503999999</v>
      </c>
      <c r="EC67" s="339">
        <f aca="true" t="shared" si="138" ref="EC67:EH67">EC69+EC71+EC77</f>
        <v>578.472675</v>
      </c>
      <c r="ED67" s="92">
        <f t="shared" si="138"/>
        <v>652.0592059999999</v>
      </c>
      <c r="EE67" s="92">
        <f t="shared" si="138"/>
        <v>609.2825700000003</v>
      </c>
      <c r="EF67" s="92">
        <f t="shared" si="138"/>
        <v>673.7383699999998</v>
      </c>
      <c r="EG67" s="339">
        <f>EG69+EG71+EG77</f>
        <v>667.2640288</v>
      </c>
      <c r="EH67" s="92">
        <f t="shared" si="138"/>
        <v>666.6999783000001</v>
      </c>
      <c r="EI67" s="92">
        <f aca="true" t="shared" si="139" ref="EI67:EN67">EI69+EI71+EI77</f>
        <v>711.7526635000003</v>
      </c>
      <c r="EJ67" s="92">
        <f t="shared" si="139"/>
        <v>714.4540389999996</v>
      </c>
      <c r="EK67" s="489">
        <f t="shared" si="139"/>
        <v>762.63077</v>
      </c>
      <c r="EL67" s="92">
        <f t="shared" si="139"/>
        <v>711.1021999999998</v>
      </c>
      <c r="EM67" s="92">
        <f t="shared" si="139"/>
        <v>647.2723800000001</v>
      </c>
      <c r="EN67" s="92">
        <f t="shared" si="139"/>
        <v>598.1619040000004</v>
      </c>
      <c r="EO67" s="339">
        <f aca="true" t="shared" si="140" ref="EO67:ET67">EO69+EO71+EO77</f>
        <v>768.2131000000002</v>
      </c>
      <c r="EP67" s="92">
        <f t="shared" si="140"/>
        <v>764.0075538999997</v>
      </c>
      <c r="EQ67" s="92">
        <f t="shared" si="140"/>
        <v>708.1212320000004</v>
      </c>
      <c r="ER67" s="92">
        <f t="shared" si="140"/>
        <v>856.3393009999992</v>
      </c>
      <c r="ES67" s="489">
        <f t="shared" si="140"/>
        <v>877.761015</v>
      </c>
      <c r="ET67" s="92">
        <f t="shared" si="140"/>
        <v>1131.712161</v>
      </c>
      <c r="EU67" s="92">
        <f aca="true" t="shared" si="141" ref="EU67:FA67">EU69+EU71+EU77</f>
        <v>977.1455549999994</v>
      </c>
      <c r="EV67" s="92">
        <f t="shared" si="141"/>
        <v>855.9310150000006</v>
      </c>
      <c r="EW67" s="339">
        <f t="shared" si="141"/>
        <v>1026.567024</v>
      </c>
      <c r="EX67" s="92">
        <f t="shared" si="141"/>
        <v>958.9555359999997</v>
      </c>
      <c r="EY67" s="92">
        <f t="shared" si="141"/>
        <v>1007.406731000001</v>
      </c>
      <c r="EZ67" s="92">
        <f t="shared" si="141"/>
        <v>881.3601949999968</v>
      </c>
      <c r="FA67" s="339">
        <f t="shared" si="141"/>
        <v>1104.782287</v>
      </c>
      <c r="FB67" s="92">
        <f>FB69+FB71+FB77</f>
        <v>1077.0206379999997</v>
      </c>
      <c r="FC67" s="92">
        <f>FC69+FC71+FC77</f>
        <v>972.4314270000004</v>
      </c>
      <c r="FD67" s="92">
        <f>FD69+FD71+FD77</f>
        <v>1104.1386389999993</v>
      </c>
      <c r="FE67" s="339">
        <f>FE69+FE71+FE77</f>
        <v>1316.944595</v>
      </c>
      <c r="FF67" s="92">
        <f aca="true" t="shared" si="142" ref="FF67:FK67">FF69+FF71+FF77+FF78</f>
        <v>936.197904</v>
      </c>
      <c r="FG67" s="92">
        <f t="shared" si="142"/>
        <v>1320.5904580000006</v>
      </c>
      <c r="FH67" s="92">
        <f t="shared" si="142"/>
        <v>1251.150583</v>
      </c>
      <c r="FI67" s="339">
        <f t="shared" si="142"/>
        <v>1286.0623019999998</v>
      </c>
      <c r="FJ67" s="92">
        <f t="shared" si="142"/>
        <v>1156.1041928</v>
      </c>
      <c r="FK67" s="92">
        <f t="shared" si="142"/>
        <v>1064.410133</v>
      </c>
      <c r="FL67" s="92">
        <f>FL69+FL71+FL77+FL78</f>
        <v>1090.3150949999997</v>
      </c>
      <c r="FM67" s="63"/>
      <c r="FN67" s="93">
        <f>FN69+FN71+FN77</f>
        <v>1122.7</v>
      </c>
      <c r="FO67" s="93">
        <f aca="true" t="shared" si="143" ref="FO67:FU67">FO69+FO71+FO77</f>
        <v>1826.2</v>
      </c>
      <c r="FP67" s="93">
        <f t="shared" si="143"/>
        <v>2443</v>
      </c>
      <c r="FQ67" s="93">
        <f t="shared" si="143"/>
        <v>1304.105436</v>
      </c>
      <c r="FR67" s="93">
        <f t="shared" si="143"/>
        <v>1982.8791496</v>
      </c>
      <c r="FS67" s="93">
        <f t="shared" si="143"/>
        <v>2511.5</v>
      </c>
      <c r="FT67" s="93">
        <f t="shared" si="143"/>
        <v>1230.5318809999999</v>
      </c>
      <c r="FU67" s="93">
        <f t="shared" si="143"/>
        <v>1839.8144510000002</v>
      </c>
      <c r="FV67" s="93">
        <f aca="true" t="shared" si="144" ref="FV67:GB67">FV69+FV71+FV77</f>
        <v>2513.552821</v>
      </c>
      <c r="FW67" s="93">
        <f t="shared" si="144"/>
        <v>1333.9640071000001</v>
      </c>
      <c r="FX67" s="93">
        <f t="shared" si="144"/>
        <v>2045.7166706000005</v>
      </c>
      <c r="FY67" s="93">
        <f t="shared" si="144"/>
        <v>2760.1707096</v>
      </c>
      <c r="FZ67" s="93">
        <f t="shared" si="144"/>
        <v>1473.7329699999998</v>
      </c>
      <c r="GA67" s="93">
        <f t="shared" si="144"/>
        <v>2121.0053500000004</v>
      </c>
      <c r="GB67" s="93">
        <f t="shared" si="144"/>
        <v>2719.1672540000004</v>
      </c>
      <c r="GC67" s="93">
        <f aca="true" t="shared" si="145" ref="GC67:GH67">GC69+GC71+GC77</f>
        <v>1532.2206539</v>
      </c>
      <c r="GD67" s="93">
        <f t="shared" si="145"/>
        <v>2240.3418859000003</v>
      </c>
      <c r="GE67" s="93">
        <f t="shared" si="145"/>
        <v>3096.6811868999994</v>
      </c>
      <c r="GF67" s="93">
        <f t="shared" si="145"/>
        <v>2009.473176</v>
      </c>
      <c r="GG67" s="93">
        <f t="shared" si="145"/>
        <v>2986.618730999999</v>
      </c>
      <c r="GH67" s="93">
        <f t="shared" si="145"/>
        <v>3842.5497459999997</v>
      </c>
      <c r="GI67" s="93">
        <f aca="true" t="shared" si="146" ref="GI67:GN67">GI69+GI71+GI77</f>
        <v>1985.5225599999994</v>
      </c>
      <c r="GJ67" s="93">
        <f t="shared" si="146"/>
        <v>2992.9292910000004</v>
      </c>
      <c r="GK67" s="93">
        <f t="shared" si="146"/>
        <v>3874.289485999997</v>
      </c>
      <c r="GL67" s="93">
        <f t="shared" si="146"/>
        <v>2181.8029249999995</v>
      </c>
      <c r="GM67" s="93">
        <f t="shared" si="146"/>
        <v>3154.2343520000004</v>
      </c>
      <c r="GN67" s="93">
        <f t="shared" si="146"/>
        <v>4258.372990999999</v>
      </c>
      <c r="GO67" s="93">
        <f>GO69+GO71+GO77+GO78</f>
        <v>2253.142499</v>
      </c>
      <c r="GP67" s="93">
        <f>GP69+GP71+GP77+GP78</f>
        <v>3573.7329570000006</v>
      </c>
      <c r="GQ67" s="93">
        <f>GQ69+GQ71+GQ77+GQ78</f>
        <v>4824.88354</v>
      </c>
      <c r="GR67" s="93">
        <f>GR69+GR71+GR77+GR78</f>
        <v>2442.1664948000002</v>
      </c>
      <c r="GS67" s="93">
        <f>GS69+GS71+GS77+GS78</f>
        <v>3506.5766277999996</v>
      </c>
      <c r="GT67" s="93">
        <f>GT69+GT71+GT77+GT78</f>
        <v>4596.8917228</v>
      </c>
    </row>
    <row r="68" spans="1:202" ht="15.75">
      <c r="A68" s="100" t="s">
        <v>104</v>
      </c>
      <c r="B68" s="100" t="s">
        <v>93</v>
      </c>
      <c r="C68" s="257">
        <f>C70+C72</f>
        <v>73.80619999999999</v>
      </c>
      <c r="D68" s="257">
        <f aca="true" t="shared" si="147" ref="D68:AF68">D70+D72</f>
        <v>34.766999999999996</v>
      </c>
      <c r="E68" s="257">
        <f t="shared" si="147"/>
        <v>62.5792</v>
      </c>
      <c r="F68" s="258">
        <f t="shared" si="147"/>
        <v>77.8492</v>
      </c>
      <c r="G68" s="256">
        <f t="shared" si="147"/>
        <v>80.39999999999999</v>
      </c>
      <c r="H68" s="257">
        <f t="shared" si="147"/>
        <v>59.70800000000001</v>
      </c>
      <c r="I68" s="257">
        <f t="shared" si="147"/>
        <v>65.19200000000001</v>
      </c>
      <c r="J68" s="258">
        <f t="shared" si="147"/>
        <v>107.9</v>
      </c>
      <c r="K68" s="256">
        <f t="shared" si="147"/>
        <v>95.86999999999999</v>
      </c>
      <c r="L68" s="257">
        <f t="shared" si="147"/>
        <v>78.62200000000001</v>
      </c>
      <c r="M68" s="257">
        <f t="shared" si="147"/>
        <v>76.821</v>
      </c>
      <c r="N68" s="258">
        <f t="shared" si="147"/>
        <v>106.68700000000001</v>
      </c>
      <c r="O68" s="256">
        <f t="shared" si="147"/>
        <v>101.25999999999999</v>
      </c>
      <c r="P68" s="257">
        <f t="shared" si="147"/>
        <v>100.04714000000001</v>
      </c>
      <c r="Q68" s="257">
        <f t="shared" si="147"/>
        <v>96.99786</v>
      </c>
      <c r="R68" s="257">
        <f t="shared" si="147"/>
        <v>128.0541</v>
      </c>
      <c r="S68" s="256">
        <f t="shared" si="147"/>
        <v>119.4</v>
      </c>
      <c r="T68" s="257">
        <f t="shared" si="147"/>
        <v>105.1</v>
      </c>
      <c r="U68" s="257">
        <f t="shared" si="147"/>
        <v>125.056</v>
      </c>
      <c r="V68" s="257">
        <f t="shared" si="147"/>
        <v>118.84976999999999</v>
      </c>
      <c r="W68" s="256">
        <f t="shared" si="147"/>
        <v>140.09118</v>
      </c>
      <c r="X68" s="257">
        <f t="shared" si="147"/>
        <v>128.97117</v>
      </c>
      <c r="Y68" s="257">
        <f t="shared" si="147"/>
        <v>129.73764999999997</v>
      </c>
      <c r="Z68" s="257">
        <f t="shared" si="147"/>
        <v>137</v>
      </c>
      <c r="AA68" s="256">
        <f t="shared" si="147"/>
        <v>138.4949</v>
      </c>
      <c r="AB68" s="257">
        <f t="shared" si="147"/>
        <v>100.29501</v>
      </c>
      <c r="AC68" s="257">
        <f t="shared" si="147"/>
        <v>111.57409</v>
      </c>
      <c r="AD68" s="257">
        <f t="shared" si="147"/>
        <v>130.87870100000004</v>
      </c>
      <c r="AE68" s="256">
        <f t="shared" si="147"/>
        <v>134.6214</v>
      </c>
      <c r="AF68" s="257">
        <f t="shared" si="147"/>
        <v>186.66262000000003</v>
      </c>
      <c r="AG68" s="257">
        <f aca="true" t="shared" si="148" ref="AG68:AL68">AG70+AG72</f>
        <v>158.25825999999995</v>
      </c>
      <c r="AH68" s="268">
        <f t="shared" si="148"/>
        <v>171.21597999999997</v>
      </c>
      <c r="AI68" s="465">
        <f t="shared" si="148"/>
        <v>271.293858</v>
      </c>
      <c r="AJ68" s="257">
        <f t="shared" si="148"/>
        <v>253.80314199999998</v>
      </c>
      <c r="AK68" s="257">
        <f t="shared" si="148"/>
        <v>267.08621800000003</v>
      </c>
      <c r="AL68" s="257">
        <f t="shared" si="148"/>
        <v>324.497902</v>
      </c>
      <c r="AM68" s="465">
        <f aca="true" t="shared" si="149" ref="AM68:AR68">AM70+AM72</f>
        <v>271.3592</v>
      </c>
      <c r="AN68" s="257">
        <f t="shared" si="149"/>
        <v>212.73562499999997</v>
      </c>
      <c r="AO68" s="257">
        <f t="shared" si="149"/>
        <v>212.04150000000004</v>
      </c>
      <c r="AP68" s="257">
        <f t="shared" si="149"/>
        <v>261.53846999999996</v>
      </c>
      <c r="AQ68" s="256">
        <f t="shared" si="149"/>
        <v>286.01988</v>
      </c>
      <c r="AR68" s="257">
        <f t="shared" si="149"/>
        <v>291.06323</v>
      </c>
      <c r="AS68" s="257">
        <f aca="true" t="shared" si="150" ref="AS68:AX68">AS70+AS72</f>
        <v>290.5301589999999</v>
      </c>
      <c r="AT68" s="257">
        <f t="shared" si="150"/>
        <v>258.942883</v>
      </c>
      <c r="AU68" s="465">
        <f t="shared" si="150"/>
        <v>170.44086000000001</v>
      </c>
      <c r="AV68" s="257">
        <f t="shared" si="150"/>
        <v>232.730073</v>
      </c>
      <c r="AW68" s="257">
        <f t="shared" si="150"/>
        <v>158.51788399999998</v>
      </c>
      <c r="AX68" s="268">
        <f t="shared" si="150"/>
        <v>128.43615800000003</v>
      </c>
      <c r="AY68" s="256">
        <f aca="true" t="shared" si="151" ref="AY68:BD68">AY70+AY72</f>
        <v>169.911183</v>
      </c>
      <c r="AZ68" s="257">
        <f t="shared" si="151"/>
        <v>256.858826</v>
      </c>
      <c r="BA68" s="257">
        <f t="shared" si="151"/>
        <v>261.782456</v>
      </c>
      <c r="BB68" s="257">
        <f t="shared" si="151"/>
        <v>232.50561999999996</v>
      </c>
      <c r="BC68" s="256">
        <f t="shared" si="151"/>
        <v>246.450048</v>
      </c>
      <c r="BD68" s="257">
        <f t="shared" si="151"/>
        <v>96.95376999999999</v>
      </c>
      <c r="BE68" s="257">
        <f aca="true" t="shared" si="152" ref="BE68:BJ68">BE70+BE72</f>
        <v>211.65331600000002</v>
      </c>
      <c r="BF68" s="257">
        <f t="shared" si="152"/>
        <v>291.2567</v>
      </c>
      <c r="BG68" s="256">
        <f t="shared" si="152"/>
        <v>210.43393000000003</v>
      </c>
      <c r="BH68" s="257">
        <f t="shared" si="152"/>
        <v>205.84123999999997</v>
      </c>
      <c r="BI68" s="257">
        <f t="shared" si="152"/>
        <v>113.35528</v>
      </c>
      <c r="BJ68" s="257">
        <f t="shared" si="152"/>
        <v>153.97069000000005</v>
      </c>
      <c r="BK68" s="619"/>
      <c r="BL68" s="111"/>
      <c r="BM68" s="111"/>
      <c r="BN68" s="111"/>
      <c r="BO68" s="112"/>
      <c r="BP68" s="113"/>
      <c r="BQ68" s="114"/>
      <c r="BR68" s="114"/>
      <c r="BS68" s="115"/>
      <c r="BT68" s="113"/>
      <c r="BU68" s="114"/>
      <c r="BV68" s="114"/>
      <c r="BW68" s="115"/>
      <c r="BX68" s="113"/>
      <c r="BY68" s="114"/>
      <c r="BZ68" s="114"/>
      <c r="CA68" s="114"/>
      <c r="CB68" s="113"/>
      <c r="CC68" s="114"/>
      <c r="CD68" s="114"/>
      <c r="CE68" s="114"/>
      <c r="CF68" s="113"/>
      <c r="CG68" s="114"/>
      <c r="CH68" s="114"/>
      <c r="CI68" s="114"/>
      <c r="CJ68" s="113"/>
      <c r="CK68" s="114"/>
      <c r="CL68" s="114"/>
      <c r="CM68" s="406"/>
      <c r="CN68" s="113"/>
      <c r="CO68" s="114"/>
      <c r="CP68" s="114"/>
      <c r="CQ68" s="114"/>
      <c r="CR68" s="472"/>
      <c r="CS68" s="114"/>
      <c r="CT68" s="114"/>
      <c r="CU68" s="114"/>
      <c r="CV68" s="113"/>
      <c r="CW68" s="114"/>
      <c r="CX68" s="114"/>
      <c r="CY68" s="114"/>
      <c r="CZ68" s="113"/>
      <c r="DA68" s="114"/>
      <c r="DB68" s="114"/>
      <c r="DC68" s="114"/>
      <c r="DD68" s="113"/>
      <c r="DE68" s="114"/>
      <c r="DF68" s="114"/>
      <c r="DG68" s="114"/>
      <c r="DH68" s="113"/>
      <c r="DI68" s="114"/>
      <c r="DJ68" s="114"/>
      <c r="DK68" s="114"/>
      <c r="DL68" s="113"/>
      <c r="DM68" s="114"/>
      <c r="DN68" s="114"/>
      <c r="DO68" s="114"/>
      <c r="DP68" s="113"/>
      <c r="DQ68" s="114"/>
      <c r="DR68" s="114"/>
      <c r="DS68" s="114"/>
      <c r="DT68" s="91"/>
      <c r="DU68" s="109"/>
      <c r="DV68" s="109"/>
      <c r="DW68" s="109"/>
      <c r="DX68" s="340"/>
      <c r="DY68" s="341"/>
      <c r="DZ68" s="109"/>
      <c r="EA68" s="109"/>
      <c r="EB68" s="340"/>
      <c r="EC68" s="341"/>
      <c r="ED68" s="109"/>
      <c r="EE68" s="109"/>
      <c r="EF68" s="109"/>
      <c r="EG68" s="341"/>
      <c r="EH68" s="109"/>
      <c r="EI68" s="109"/>
      <c r="EJ68" s="109"/>
      <c r="EK68" s="420"/>
      <c r="EL68" s="109"/>
      <c r="EM68" s="109"/>
      <c r="EN68" s="109"/>
      <c r="EO68" s="341"/>
      <c r="EP68" s="109"/>
      <c r="EQ68" s="109"/>
      <c r="ER68" s="109"/>
      <c r="ES68" s="420"/>
      <c r="ET68" s="109"/>
      <c r="EU68" s="109"/>
      <c r="EV68" s="109"/>
      <c r="EW68" s="341"/>
      <c r="EX68" s="109"/>
      <c r="EY68" s="109"/>
      <c r="EZ68" s="109"/>
      <c r="FA68" s="341"/>
      <c r="FB68" s="109"/>
      <c r="FC68" s="109"/>
      <c r="FD68" s="109"/>
      <c r="FE68" s="341"/>
      <c r="FF68" s="109"/>
      <c r="FG68" s="109"/>
      <c r="FH68" s="109"/>
      <c r="FI68" s="341"/>
      <c r="FJ68" s="109"/>
      <c r="FK68" s="109"/>
      <c r="FL68" s="109"/>
      <c r="FM68" s="63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</row>
    <row r="69" spans="1:202" ht="15.75">
      <c r="A69" s="116" t="s">
        <v>122</v>
      </c>
      <c r="B69" s="117" t="s">
        <v>60</v>
      </c>
      <c r="C69" s="252">
        <f aca="true" t="shared" si="153" ref="C69:AH69">C128+C175</f>
        <v>419.77973999999995</v>
      </c>
      <c r="D69" s="252">
        <f t="shared" si="153"/>
        <v>363.85350000000005</v>
      </c>
      <c r="E69" s="252">
        <f t="shared" si="153"/>
        <v>358.03691</v>
      </c>
      <c r="F69" s="260">
        <f t="shared" si="153"/>
        <v>292.943945</v>
      </c>
      <c r="G69" s="259">
        <f t="shared" si="153"/>
        <v>332</v>
      </c>
      <c r="H69" s="252">
        <f t="shared" si="153"/>
        <v>354.69907</v>
      </c>
      <c r="I69" s="252">
        <f t="shared" si="153"/>
        <v>269.80093</v>
      </c>
      <c r="J69" s="260">
        <f t="shared" si="153"/>
        <v>341.00000000000006</v>
      </c>
      <c r="K69" s="259">
        <f t="shared" si="153"/>
        <v>397.5</v>
      </c>
      <c r="L69" s="252">
        <f t="shared" si="153"/>
        <v>355.89596500000005</v>
      </c>
      <c r="M69" s="252">
        <f t="shared" si="153"/>
        <v>321.80403500000006</v>
      </c>
      <c r="N69" s="260">
        <f t="shared" si="153"/>
        <v>337.09999999999997</v>
      </c>
      <c r="O69" s="259">
        <f t="shared" si="153"/>
        <v>419.05249</v>
      </c>
      <c r="P69" s="252">
        <f t="shared" si="153"/>
        <v>419.25340000000006</v>
      </c>
      <c r="Q69" s="252">
        <f t="shared" si="153"/>
        <v>216.2801249999999</v>
      </c>
      <c r="R69" s="252">
        <f t="shared" si="153"/>
        <v>368.45448000000005</v>
      </c>
      <c r="S69" s="259">
        <f t="shared" si="153"/>
        <v>413.1</v>
      </c>
      <c r="T69" s="252">
        <f t="shared" si="153"/>
        <v>353</v>
      </c>
      <c r="U69" s="252">
        <f t="shared" si="153"/>
        <v>368.8824299999999</v>
      </c>
      <c r="V69" s="252">
        <f t="shared" si="153"/>
        <v>398.24021000000016</v>
      </c>
      <c r="W69" s="259">
        <f t="shared" si="153"/>
        <v>401.96355</v>
      </c>
      <c r="X69" s="252">
        <f t="shared" si="153"/>
        <v>391.40667500000006</v>
      </c>
      <c r="Y69" s="252">
        <f t="shared" si="153"/>
        <v>342.3297749999999</v>
      </c>
      <c r="Z69" s="252">
        <f t="shared" si="153"/>
        <v>298.70000000000016</v>
      </c>
      <c r="AA69" s="259">
        <f t="shared" si="153"/>
        <v>416.837265</v>
      </c>
      <c r="AB69" s="252">
        <f t="shared" si="153"/>
        <v>346.60582</v>
      </c>
      <c r="AC69" s="252">
        <f t="shared" si="153"/>
        <v>346.03186500000004</v>
      </c>
      <c r="AD69" s="252">
        <f t="shared" si="153"/>
        <v>406.5953759999999</v>
      </c>
      <c r="AE69" s="259">
        <f t="shared" si="153"/>
        <v>448.241455</v>
      </c>
      <c r="AF69" s="252">
        <f t="shared" si="153"/>
        <v>411.136745</v>
      </c>
      <c r="AG69" s="252">
        <f t="shared" si="153"/>
        <v>431.0558499999999</v>
      </c>
      <c r="AH69" s="267">
        <f t="shared" si="153"/>
        <v>457.86595000000017</v>
      </c>
      <c r="AI69" s="275">
        <f aca="true" t="shared" si="154" ref="AI69:BD69">AI128+AI175</f>
        <v>475.305815</v>
      </c>
      <c r="AJ69" s="252">
        <f t="shared" si="154"/>
        <v>514.394185</v>
      </c>
      <c r="AK69" s="252">
        <f t="shared" si="154"/>
        <v>489.41974500000015</v>
      </c>
      <c r="AL69" s="252">
        <f t="shared" si="154"/>
        <v>495.77323499999966</v>
      </c>
      <c r="AM69" s="275">
        <f t="shared" si="154"/>
        <v>499.08601000000004</v>
      </c>
      <c r="AN69" s="252">
        <f t="shared" si="154"/>
        <v>439.6289449999998</v>
      </c>
      <c r="AO69" s="252">
        <f t="shared" si="154"/>
        <v>432.05497500000007</v>
      </c>
      <c r="AP69" s="252">
        <f t="shared" si="154"/>
        <v>427.61519</v>
      </c>
      <c r="AQ69" s="259">
        <f t="shared" si="154"/>
        <v>500.75441</v>
      </c>
      <c r="AR69" s="252">
        <f t="shared" si="154"/>
        <v>571.351985</v>
      </c>
      <c r="AS69" s="252">
        <f t="shared" si="154"/>
        <v>555.9182799999999</v>
      </c>
      <c r="AT69" s="252">
        <f t="shared" si="154"/>
        <v>322.749595</v>
      </c>
      <c r="AU69" s="275">
        <f t="shared" si="154"/>
        <v>604.4584649999999</v>
      </c>
      <c r="AV69" s="252">
        <f t="shared" si="154"/>
        <v>622.05475</v>
      </c>
      <c r="AW69" s="252">
        <f t="shared" si="154"/>
        <v>599.0418</v>
      </c>
      <c r="AX69" s="267">
        <f t="shared" si="154"/>
        <v>604.8001499999998</v>
      </c>
      <c r="AY69" s="259">
        <f t="shared" si="154"/>
        <v>575.2584999999999</v>
      </c>
      <c r="AZ69" s="252">
        <f t="shared" si="154"/>
        <v>542.97455</v>
      </c>
      <c r="BA69" s="252">
        <f t="shared" si="154"/>
        <v>519.5971</v>
      </c>
      <c r="BB69" s="252">
        <f t="shared" si="154"/>
        <v>603.4589999999996</v>
      </c>
      <c r="BC69" s="259">
        <f t="shared" si="154"/>
        <v>682.4113</v>
      </c>
      <c r="BD69" s="252">
        <f t="shared" si="154"/>
        <v>591.567312</v>
      </c>
      <c r="BE69" s="252">
        <f aca="true" t="shared" si="155" ref="BE69:BH70">BE128+BE175</f>
        <v>646.8718999999999</v>
      </c>
      <c r="BF69" s="252">
        <f t="shared" si="155"/>
        <v>483.6449500000001</v>
      </c>
      <c r="BG69" s="259">
        <f t="shared" si="155"/>
        <v>583.16435</v>
      </c>
      <c r="BH69" s="252">
        <f t="shared" si="155"/>
        <v>525.2401000000001</v>
      </c>
      <c r="BI69" s="252">
        <f>BI128+BI175</f>
        <v>520.4847000000001</v>
      </c>
      <c r="BJ69" s="252">
        <f>BJ128+BJ175</f>
        <v>550.3011029999998</v>
      </c>
      <c r="BK69" s="619"/>
      <c r="BL69" s="121">
        <f aca="true" t="shared" si="156" ref="BL69:CQ69">BL128+BL175</f>
        <v>412.92819</v>
      </c>
      <c r="BM69" s="121">
        <f t="shared" si="156"/>
        <v>368.14606000000003</v>
      </c>
      <c r="BN69" s="121">
        <f t="shared" si="156"/>
        <v>344.97895400000004</v>
      </c>
      <c r="BO69" s="122">
        <f t="shared" si="156"/>
        <v>271.32931999999994</v>
      </c>
      <c r="BP69" s="123">
        <f t="shared" si="156"/>
        <v>294.8</v>
      </c>
      <c r="BQ69" s="124">
        <f t="shared" si="156"/>
        <v>351.96995</v>
      </c>
      <c r="BR69" s="124">
        <f t="shared" si="156"/>
        <v>261.63005000000004</v>
      </c>
      <c r="BS69" s="125">
        <f t="shared" si="156"/>
        <v>302.2</v>
      </c>
      <c r="BT69" s="123">
        <f t="shared" si="156"/>
        <v>381.4</v>
      </c>
      <c r="BU69" s="124">
        <f t="shared" si="156"/>
        <v>348.3</v>
      </c>
      <c r="BV69" s="124">
        <f t="shared" si="156"/>
        <v>306.90000000000003</v>
      </c>
      <c r="BW69" s="125">
        <f t="shared" si="156"/>
        <v>300.04775</v>
      </c>
      <c r="BX69" s="123">
        <f t="shared" si="156"/>
        <v>399.2</v>
      </c>
      <c r="BY69" s="124">
        <f t="shared" si="156"/>
        <v>396.7</v>
      </c>
      <c r="BZ69" s="124">
        <f t="shared" si="156"/>
        <v>217.70000000000005</v>
      </c>
      <c r="CA69" s="124">
        <f t="shared" si="156"/>
        <v>309.98679000000004</v>
      </c>
      <c r="CB69" s="123">
        <f t="shared" si="156"/>
        <v>368.20000000000005</v>
      </c>
      <c r="CC69" s="124">
        <f t="shared" si="156"/>
        <v>355.29999999999995</v>
      </c>
      <c r="CD69" s="124">
        <f t="shared" si="156"/>
        <v>341.4042400000001</v>
      </c>
      <c r="CE69" s="124">
        <f t="shared" si="156"/>
        <v>380.3680099999999</v>
      </c>
      <c r="CF69" s="123">
        <f t="shared" si="156"/>
        <v>352.29888</v>
      </c>
      <c r="CG69" s="124">
        <f t="shared" si="156"/>
        <v>370.35301</v>
      </c>
      <c r="CH69" s="124">
        <f t="shared" si="156"/>
        <v>343.8481100000001</v>
      </c>
      <c r="CI69" s="124">
        <f t="shared" si="156"/>
        <v>252.40000000000003</v>
      </c>
      <c r="CJ69" s="123">
        <f t="shared" si="156"/>
        <v>377.78782</v>
      </c>
      <c r="CK69" s="124">
        <f t="shared" si="156"/>
        <v>336.93573000000004</v>
      </c>
      <c r="CL69" s="124">
        <f t="shared" si="156"/>
        <v>328.02535</v>
      </c>
      <c r="CM69" s="407">
        <f t="shared" si="156"/>
        <v>386.95265000000006</v>
      </c>
      <c r="CN69" s="123">
        <f t="shared" si="156"/>
        <v>398.84103</v>
      </c>
      <c r="CO69" s="124">
        <f t="shared" si="156"/>
        <v>370.16773000000006</v>
      </c>
      <c r="CP69" s="124">
        <f t="shared" si="156"/>
        <v>404.3199699999999</v>
      </c>
      <c r="CQ69" s="124">
        <f t="shared" si="156"/>
        <v>402.33344</v>
      </c>
      <c r="CR69" s="473">
        <f aca="true" t="shared" si="157" ref="CR69:DM69">CR128+CR175</f>
        <v>341.2084</v>
      </c>
      <c r="CS69" s="124">
        <f t="shared" si="157"/>
        <v>337.17727</v>
      </c>
      <c r="CT69" s="124">
        <f t="shared" si="157"/>
        <v>331.1500000000001</v>
      </c>
      <c r="CU69" s="124">
        <f t="shared" si="157"/>
        <v>247.60684999999987</v>
      </c>
      <c r="CV69" s="123">
        <f t="shared" si="157"/>
        <v>393.57814999999994</v>
      </c>
      <c r="CW69" s="124">
        <f t="shared" si="157"/>
        <v>357.14162000000005</v>
      </c>
      <c r="CX69" s="124">
        <f t="shared" si="157"/>
        <v>357.8336700000001</v>
      </c>
      <c r="CY69" s="124">
        <f t="shared" si="157"/>
        <v>367.75506999999976</v>
      </c>
      <c r="CZ69" s="123">
        <f t="shared" si="157"/>
        <v>389.53549</v>
      </c>
      <c r="DA69" s="124">
        <f t="shared" si="157"/>
        <v>454.66632000000004</v>
      </c>
      <c r="DB69" s="124">
        <f t="shared" si="157"/>
        <v>451.05629000000005</v>
      </c>
      <c r="DC69" s="124">
        <f t="shared" si="157"/>
        <v>254.60229999999984</v>
      </c>
      <c r="DD69" s="123">
        <f t="shared" si="157"/>
        <v>545.0396800000001</v>
      </c>
      <c r="DE69" s="124">
        <f t="shared" si="157"/>
        <v>528.70075</v>
      </c>
      <c r="DF69" s="124">
        <f t="shared" si="157"/>
        <v>546.0536099999999</v>
      </c>
      <c r="DG69" s="124">
        <f t="shared" si="157"/>
        <v>576.8558700000001</v>
      </c>
      <c r="DH69" s="123">
        <f t="shared" si="157"/>
        <v>540.49234</v>
      </c>
      <c r="DI69" s="124">
        <f t="shared" si="157"/>
        <v>440.9825300000001</v>
      </c>
      <c r="DJ69" s="124">
        <f t="shared" si="157"/>
        <v>409.99473</v>
      </c>
      <c r="DK69" s="124">
        <f t="shared" si="157"/>
        <v>512.0923599999999</v>
      </c>
      <c r="DL69" s="123">
        <f t="shared" si="157"/>
        <v>598.77703</v>
      </c>
      <c r="DM69" s="124">
        <f t="shared" si="157"/>
        <v>429.821873</v>
      </c>
      <c r="DN69" s="124">
        <f aca="true" t="shared" si="158" ref="DN69:DS69">DN128+DN175</f>
        <v>631.3364120000001</v>
      </c>
      <c r="DO69" s="124">
        <f t="shared" si="158"/>
        <v>374.368749</v>
      </c>
      <c r="DP69" s="123">
        <f t="shared" si="158"/>
        <v>506.9346469999999</v>
      </c>
      <c r="DQ69" s="124">
        <f t="shared" si="158"/>
        <v>463.58005</v>
      </c>
      <c r="DR69" s="124">
        <f t="shared" si="158"/>
        <v>461.9598464999999</v>
      </c>
      <c r="DS69" s="124">
        <f t="shared" si="158"/>
        <v>527.7478799999999</v>
      </c>
      <c r="DT69" s="91"/>
      <c r="DU69" s="109">
        <v>348.6</v>
      </c>
      <c r="DV69" s="109">
        <v>295.79999999999995</v>
      </c>
      <c r="DW69" s="109">
        <v>356.80000000000007</v>
      </c>
      <c r="DX69" s="340">
        <v>384.20000000000005</v>
      </c>
      <c r="DY69" s="341">
        <v>321.8088</v>
      </c>
      <c r="DZ69" s="109">
        <f>FQ69-DY69</f>
        <v>363.53618000000006</v>
      </c>
      <c r="EA69" s="109">
        <f>FR69-FQ69</f>
        <v>356.1675399999999</v>
      </c>
      <c r="EB69" s="340">
        <f>FS69-FR69</f>
        <v>265.78747999999996</v>
      </c>
      <c r="EC69" s="341">
        <v>346.55075</v>
      </c>
      <c r="ED69" s="109">
        <f>FT69-EC69</f>
        <v>389.86501999999984</v>
      </c>
      <c r="EE69" s="109">
        <f>FU69-EC69-ED69</f>
        <v>330.71916000000033</v>
      </c>
      <c r="EF69" s="109">
        <f>FV69-EE69-ED69-EC69</f>
        <v>390.1284999999998</v>
      </c>
      <c r="EG69" s="341">
        <v>409.0779600000001</v>
      </c>
      <c r="EH69" s="109">
        <f>FW69-EG69</f>
        <v>323.1279800000001</v>
      </c>
      <c r="EI69" s="109">
        <f>FX69-EH69-EG69</f>
        <v>359.74746000000016</v>
      </c>
      <c r="EJ69" s="109">
        <f>FY69-EI69-EH69-EG69</f>
        <v>434.7081999999997</v>
      </c>
      <c r="EK69" s="420">
        <v>363.3877499999999</v>
      </c>
      <c r="EL69" s="109">
        <f>FZ69-EK69</f>
        <v>346.90638999999993</v>
      </c>
      <c r="EM69" s="109">
        <f>GA69-EL69-EK69</f>
        <v>270.5253000000002</v>
      </c>
      <c r="EN69" s="109">
        <f>GB69-EM69-EL69-EK69</f>
        <v>251.77490000000006</v>
      </c>
      <c r="EO69" s="341">
        <v>397.20940000000013</v>
      </c>
      <c r="EP69" s="109">
        <f>GC69-EO69</f>
        <v>357.96405699999974</v>
      </c>
      <c r="EQ69" s="109">
        <f>GD69-GC69</f>
        <v>295.23842300000024</v>
      </c>
      <c r="ER69" s="109">
        <f>GE69-GD69</f>
        <v>419.1963499999995</v>
      </c>
      <c r="ES69" s="420">
        <v>394.8578600000001</v>
      </c>
      <c r="ET69" s="109">
        <f>GF69-ES69</f>
        <v>451.0083299999999</v>
      </c>
      <c r="EU69" s="109">
        <f>GG69-ET69-ES69</f>
        <v>402.5606349999998</v>
      </c>
      <c r="EV69" s="109">
        <f>GH69-GG69</f>
        <v>319.40781800000036</v>
      </c>
      <c r="EW69" s="341">
        <v>565.9815459999999</v>
      </c>
      <c r="EX69" s="109">
        <f>GI69-EW69</f>
        <v>407.752783</v>
      </c>
      <c r="EY69" s="109">
        <f>GJ69-EX69-EW69</f>
        <v>578.1545720000005</v>
      </c>
      <c r="EZ69" s="109">
        <f>GK69-GJ69</f>
        <v>524.6629739999967</v>
      </c>
      <c r="FA69" s="341">
        <v>612.823169</v>
      </c>
      <c r="FB69" s="109">
        <f>GL69-FA69</f>
        <v>428.6231329999998</v>
      </c>
      <c r="FC69" s="109">
        <f>GM69-GL69</f>
        <v>406.0023640000004</v>
      </c>
      <c r="FD69" s="109">
        <f>GN69-GM69</f>
        <v>499.2254899999996</v>
      </c>
      <c r="FE69" s="341">
        <v>645.68095</v>
      </c>
      <c r="FF69" s="109">
        <f>GO69-FE69</f>
        <v>433.0555599999999</v>
      </c>
      <c r="FG69" s="109">
        <f>GP69-GO69</f>
        <v>627.8212350000003</v>
      </c>
      <c r="FH69" s="109">
        <f>GQ69-GP69</f>
        <v>346.4452490000001</v>
      </c>
      <c r="FI69" s="341">
        <v>514.2515599999999</v>
      </c>
      <c r="FJ69" s="109">
        <f>GR69-FI69</f>
        <v>476.555665</v>
      </c>
      <c r="FK69" s="109">
        <f>GS69-GR69</f>
        <v>497.18933200000004</v>
      </c>
      <c r="FL69" s="109">
        <f>GT69-GS69</f>
        <v>502.79628999999954</v>
      </c>
      <c r="FM69" s="63"/>
      <c r="FN69" s="110">
        <f aca="true" t="shared" si="159" ref="FN69:FW69">FN22</f>
        <v>644.4</v>
      </c>
      <c r="FO69" s="110">
        <f t="shared" si="159"/>
        <v>1001.2</v>
      </c>
      <c r="FP69" s="110">
        <f t="shared" si="159"/>
        <v>1394.2</v>
      </c>
      <c r="FQ69" s="110">
        <f t="shared" si="159"/>
        <v>685.3449800000001</v>
      </c>
      <c r="FR69" s="110">
        <f t="shared" si="159"/>
        <v>1041.51252</v>
      </c>
      <c r="FS69" s="110">
        <f t="shared" si="159"/>
        <v>1307.3</v>
      </c>
      <c r="FT69" s="110">
        <f t="shared" si="159"/>
        <v>736.4157699999998</v>
      </c>
      <c r="FU69" s="110">
        <f t="shared" si="159"/>
        <v>1067.1349300000002</v>
      </c>
      <c r="FV69" s="110">
        <f t="shared" si="159"/>
        <v>1457.26343</v>
      </c>
      <c r="FW69" s="110">
        <f t="shared" si="159"/>
        <v>732.2059400000002</v>
      </c>
      <c r="FX69" s="110">
        <v>1091.9534000000003</v>
      </c>
      <c r="FY69" s="110">
        <v>1526.6616</v>
      </c>
      <c r="FZ69" s="110">
        <v>710.2941399999999</v>
      </c>
      <c r="GA69" s="110">
        <v>980.81944</v>
      </c>
      <c r="GB69" s="110">
        <v>1232.59434</v>
      </c>
      <c r="GC69" s="110">
        <v>755.1734569999999</v>
      </c>
      <c r="GD69" s="110">
        <v>1050.41188</v>
      </c>
      <c r="GE69" s="110">
        <v>1469.6082299999996</v>
      </c>
      <c r="GF69" s="110">
        <v>845.86619</v>
      </c>
      <c r="GG69" s="110">
        <v>1248.4268249999998</v>
      </c>
      <c r="GH69" s="110">
        <v>1567.8346430000001</v>
      </c>
      <c r="GI69" s="110">
        <v>973.7343289999999</v>
      </c>
      <c r="GJ69" s="110">
        <v>1551.8889010000003</v>
      </c>
      <c r="GK69" s="110">
        <v>2076.551874999997</v>
      </c>
      <c r="GL69" s="110">
        <v>1041.4463019999998</v>
      </c>
      <c r="GM69" s="110">
        <v>1447.4486660000002</v>
      </c>
      <c r="GN69" s="110">
        <v>1946.6741559999998</v>
      </c>
      <c r="GO69" s="110">
        <v>1078.73651</v>
      </c>
      <c r="GP69" s="110">
        <v>1706.5577450000003</v>
      </c>
      <c r="GQ69" s="110">
        <v>2053.0029940000004</v>
      </c>
      <c r="GR69" s="110">
        <v>990.8072249999999</v>
      </c>
      <c r="GS69" s="110">
        <v>1487.996557</v>
      </c>
      <c r="GT69" s="110">
        <v>1990.7928469999995</v>
      </c>
    </row>
    <row r="70" spans="1:202" ht="15.75">
      <c r="A70" s="100" t="s">
        <v>104</v>
      </c>
      <c r="B70" s="100" t="s">
        <v>93</v>
      </c>
      <c r="C70" s="257">
        <f aca="true" t="shared" si="160" ref="C70:AH70">C129+C176</f>
        <v>25.934199999999997</v>
      </c>
      <c r="D70" s="257">
        <f t="shared" si="160"/>
        <v>2.507999999999999</v>
      </c>
      <c r="E70" s="257">
        <f t="shared" si="160"/>
        <v>15.8861</v>
      </c>
      <c r="F70" s="258">
        <f t="shared" si="160"/>
        <v>18.251200000000004</v>
      </c>
      <c r="G70" s="256">
        <f t="shared" si="160"/>
        <v>16.299999999999997</v>
      </c>
      <c r="H70" s="257">
        <f t="shared" si="160"/>
        <v>9.774000000000003</v>
      </c>
      <c r="I70" s="257">
        <f t="shared" si="160"/>
        <v>4.925999999999998</v>
      </c>
      <c r="J70" s="258">
        <f t="shared" si="160"/>
        <v>25.6</v>
      </c>
      <c r="K70" s="256">
        <f t="shared" si="160"/>
        <v>31.5</v>
      </c>
      <c r="L70" s="257">
        <f t="shared" si="160"/>
        <v>12.05</v>
      </c>
      <c r="M70" s="257">
        <f t="shared" si="160"/>
        <v>7.449999999999999</v>
      </c>
      <c r="N70" s="258">
        <f t="shared" si="160"/>
        <v>27.1</v>
      </c>
      <c r="O70" s="256">
        <f t="shared" si="160"/>
        <v>31.179000000000002</v>
      </c>
      <c r="P70" s="257">
        <f t="shared" si="160"/>
        <v>18.32914</v>
      </c>
      <c r="Q70" s="257">
        <f t="shared" si="160"/>
        <v>6.4968599999999945</v>
      </c>
      <c r="R70" s="257">
        <f t="shared" si="160"/>
        <v>43.961000000000006</v>
      </c>
      <c r="S70" s="256">
        <f t="shared" si="160"/>
        <v>32.4</v>
      </c>
      <c r="T70" s="257">
        <f t="shared" si="160"/>
        <v>16.5</v>
      </c>
      <c r="U70" s="257">
        <f t="shared" si="160"/>
        <v>29.456000000000003</v>
      </c>
      <c r="V70" s="257">
        <f t="shared" si="160"/>
        <v>25.649770000000004</v>
      </c>
      <c r="W70" s="256">
        <f t="shared" si="160"/>
        <v>37.79618</v>
      </c>
      <c r="X70" s="257">
        <f t="shared" si="160"/>
        <v>23.705170000000003</v>
      </c>
      <c r="Y70" s="257">
        <f t="shared" si="160"/>
        <v>18.998649999999998</v>
      </c>
      <c r="Z70" s="257">
        <f t="shared" si="160"/>
        <v>38.3</v>
      </c>
      <c r="AA70" s="256">
        <f t="shared" si="160"/>
        <v>34.1629</v>
      </c>
      <c r="AB70" s="257">
        <f t="shared" si="160"/>
        <v>12.53301</v>
      </c>
      <c r="AC70" s="257">
        <f t="shared" si="160"/>
        <v>13.533090000000001</v>
      </c>
      <c r="AD70" s="257">
        <f t="shared" si="160"/>
        <v>26.408701</v>
      </c>
      <c r="AE70" s="256">
        <f t="shared" si="160"/>
        <v>30.458399999999997</v>
      </c>
      <c r="AF70" s="257">
        <f t="shared" si="160"/>
        <v>61.542620000000014</v>
      </c>
      <c r="AG70" s="257">
        <f t="shared" si="160"/>
        <v>29.43926</v>
      </c>
      <c r="AH70" s="268">
        <f t="shared" si="160"/>
        <v>47.69849999999999</v>
      </c>
      <c r="AI70" s="465">
        <f aca="true" t="shared" si="161" ref="AI70:BD70">AI129+AI176</f>
        <v>142.356858</v>
      </c>
      <c r="AJ70" s="257">
        <f t="shared" si="161"/>
        <v>161.784142</v>
      </c>
      <c r="AK70" s="257">
        <f t="shared" si="161"/>
        <v>164.54376800000006</v>
      </c>
      <c r="AL70" s="257">
        <f t="shared" si="161"/>
        <v>219.270902</v>
      </c>
      <c r="AM70" s="465">
        <f t="shared" si="161"/>
        <v>135.1252</v>
      </c>
      <c r="AN70" s="257">
        <f t="shared" si="161"/>
        <v>63.97862500000001</v>
      </c>
      <c r="AO70" s="257">
        <f t="shared" si="161"/>
        <v>65.92550000000001</v>
      </c>
      <c r="AP70" s="257">
        <f t="shared" si="161"/>
        <v>90.31486999999998</v>
      </c>
      <c r="AQ70" s="256">
        <f t="shared" si="161"/>
        <v>107.68588</v>
      </c>
      <c r="AR70" s="257">
        <f t="shared" si="161"/>
        <v>111.36343000000002</v>
      </c>
      <c r="AS70" s="257">
        <f t="shared" si="161"/>
        <v>100.54115499999996</v>
      </c>
      <c r="AT70" s="257">
        <f t="shared" si="161"/>
        <v>88.13688300000003</v>
      </c>
      <c r="AU70" s="465">
        <f t="shared" si="161"/>
        <v>53.43986</v>
      </c>
      <c r="AV70" s="257">
        <f t="shared" si="161"/>
        <v>81.092073</v>
      </c>
      <c r="AW70" s="257">
        <f t="shared" si="161"/>
        <v>35.846883999999996</v>
      </c>
      <c r="AX70" s="268">
        <f t="shared" si="161"/>
        <v>42.949157999999976</v>
      </c>
      <c r="AY70" s="256">
        <f t="shared" si="161"/>
        <v>45.967183</v>
      </c>
      <c r="AZ70" s="257">
        <f t="shared" si="161"/>
        <v>96.430826</v>
      </c>
      <c r="BA70" s="257">
        <f t="shared" si="161"/>
        <v>90.020456</v>
      </c>
      <c r="BB70" s="257">
        <f t="shared" si="161"/>
        <v>106.31962000000004</v>
      </c>
      <c r="BC70" s="256">
        <f t="shared" si="161"/>
        <v>104.354048</v>
      </c>
      <c r="BD70" s="257">
        <f t="shared" si="161"/>
        <v>32.27577</v>
      </c>
      <c r="BE70" s="257">
        <f t="shared" si="155"/>
        <v>74.64431599999999</v>
      </c>
      <c r="BF70" s="257">
        <f t="shared" si="155"/>
        <v>110.13490000000003</v>
      </c>
      <c r="BG70" s="256">
        <f t="shared" si="155"/>
        <v>60.78893000000001</v>
      </c>
      <c r="BH70" s="257">
        <f t="shared" si="155"/>
        <v>51.964240000000004</v>
      </c>
      <c r="BI70" s="257">
        <f>BI129+BI176</f>
        <v>41.85827999999998</v>
      </c>
      <c r="BJ70" s="257">
        <f>BJ129+BJ176</f>
        <v>56.13968999999999</v>
      </c>
      <c r="BK70" s="619"/>
      <c r="BL70" s="111"/>
      <c r="BM70" s="111"/>
      <c r="BN70" s="111"/>
      <c r="BO70" s="112"/>
      <c r="BP70" s="113"/>
      <c r="BQ70" s="114"/>
      <c r="BR70" s="114"/>
      <c r="BS70" s="115"/>
      <c r="BT70" s="113"/>
      <c r="BU70" s="114"/>
      <c r="BV70" s="114"/>
      <c r="BW70" s="115"/>
      <c r="BX70" s="113"/>
      <c r="BY70" s="114"/>
      <c r="BZ70" s="114"/>
      <c r="CA70" s="114"/>
      <c r="CB70" s="113"/>
      <c r="CC70" s="114"/>
      <c r="CD70" s="114"/>
      <c r="CE70" s="114"/>
      <c r="CF70" s="113"/>
      <c r="CG70" s="114"/>
      <c r="CH70" s="114"/>
      <c r="CI70" s="114"/>
      <c r="CJ70" s="113"/>
      <c r="CK70" s="114"/>
      <c r="CL70" s="114"/>
      <c r="CM70" s="406"/>
      <c r="CN70" s="113"/>
      <c r="CO70" s="114"/>
      <c r="CP70" s="114"/>
      <c r="CQ70" s="114"/>
      <c r="CR70" s="472"/>
      <c r="CS70" s="114"/>
      <c r="CT70" s="114"/>
      <c r="CU70" s="114"/>
      <c r="CV70" s="113"/>
      <c r="CW70" s="114"/>
      <c r="CX70" s="114"/>
      <c r="CY70" s="114"/>
      <c r="CZ70" s="113"/>
      <c r="DA70" s="114"/>
      <c r="DB70" s="114"/>
      <c r="DC70" s="114"/>
      <c r="DD70" s="113"/>
      <c r="DE70" s="114"/>
      <c r="DF70" s="114"/>
      <c r="DG70" s="114"/>
      <c r="DH70" s="113"/>
      <c r="DI70" s="114"/>
      <c r="DJ70" s="114"/>
      <c r="DK70" s="114"/>
      <c r="DL70" s="113"/>
      <c r="DM70" s="114"/>
      <c r="DN70" s="114"/>
      <c r="DO70" s="114"/>
      <c r="DP70" s="113"/>
      <c r="DQ70" s="114"/>
      <c r="DR70" s="114"/>
      <c r="DS70" s="114"/>
      <c r="DT70" s="91"/>
      <c r="DU70" s="109"/>
      <c r="DV70" s="109"/>
      <c r="DW70" s="109"/>
      <c r="DX70" s="340"/>
      <c r="DY70" s="341"/>
      <c r="DZ70" s="109"/>
      <c r="EA70" s="109"/>
      <c r="EB70" s="340"/>
      <c r="EC70" s="341"/>
      <c r="ED70" s="109"/>
      <c r="EE70" s="109"/>
      <c r="EF70" s="109"/>
      <c r="EG70" s="341"/>
      <c r="EH70" s="109"/>
      <c r="EI70" s="109"/>
      <c r="EJ70" s="109"/>
      <c r="EK70" s="420"/>
      <c r="EL70" s="109"/>
      <c r="EM70" s="109"/>
      <c r="EN70" s="109"/>
      <c r="EO70" s="341"/>
      <c r="EP70" s="109"/>
      <c r="EQ70" s="109"/>
      <c r="ER70" s="109"/>
      <c r="ES70" s="420"/>
      <c r="ET70" s="109"/>
      <c r="EU70" s="109"/>
      <c r="EV70" s="109"/>
      <c r="EW70" s="341"/>
      <c r="EX70" s="109"/>
      <c r="EY70" s="109"/>
      <c r="EZ70" s="109"/>
      <c r="FA70" s="341"/>
      <c r="FB70" s="109"/>
      <c r="FC70" s="109"/>
      <c r="FD70" s="109"/>
      <c r="FE70" s="341"/>
      <c r="FF70" s="109"/>
      <c r="FG70" s="109"/>
      <c r="FH70" s="109"/>
      <c r="FI70" s="341"/>
      <c r="FJ70" s="109"/>
      <c r="FK70" s="109"/>
      <c r="FL70" s="109"/>
      <c r="FM70" s="63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</row>
    <row r="71" spans="1:202" ht="15.75">
      <c r="A71" s="116" t="s">
        <v>61</v>
      </c>
      <c r="B71" s="117" t="s">
        <v>62</v>
      </c>
      <c r="C71" s="252">
        <f>C130</f>
        <v>123.72</v>
      </c>
      <c r="D71" s="252">
        <f aca="true" t="shared" si="162" ref="D71:AF71">D130</f>
        <v>107.65</v>
      </c>
      <c r="E71" s="252">
        <f t="shared" si="162"/>
        <v>96.90999999999997</v>
      </c>
      <c r="F71" s="260">
        <f t="shared" si="162"/>
        <v>121.73500000000001</v>
      </c>
      <c r="G71" s="259">
        <f t="shared" si="162"/>
        <v>109.5</v>
      </c>
      <c r="H71" s="252">
        <f t="shared" si="162"/>
        <v>114.535</v>
      </c>
      <c r="I71" s="252">
        <f t="shared" si="162"/>
        <v>106.16499999999999</v>
      </c>
      <c r="J71" s="260">
        <f t="shared" si="162"/>
        <v>119</v>
      </c>
      <c r="K71" s="259">
        <f t="shared" si="162"/>
        <v>111.67</v>
      </c>
      <c r="L71" s="252">
        <f t="shared" si="162"/>
        <v>116.73</v>
      </c>
      <c r="M71" s="252">
        <f t="shared" si="162"/>
        <v>109.27999999999999</v>
      </c>
      <c r="N71" s="260">
        <f t="shared" si="162"/>
        <v>121.12000000000002</v>
      </c>
      <c r="O71" s="259">
        <f t="shared" si="162"/>
        <v>125.11</v>
      </c>
      <c r="P71" s="252">
        <f t="shared" si="162"/>
        <v>151.87</v>
      </c>
      <c r="Q71" s="252">
        <f t="shared" si="162"/>
        <v>155.20799999999997</v>
      </c>
      <c r="R71" s="252">
        <f t="shared" si="162"/>
        <v>139.23199999999997</v>
      </c>
      <c r="S71" s="259">
        <f t="shared" si="162"/>
        <v>152</v>
      </c>
      <c r="T71" s="252">
        <f t="shared" si="162"/>
        <v>163.5</v>
      </c>
      <c r="U71" s="252">
        <f t="shared" si="162"/>
        <v>184.411</v>
      </c>
      <c r="V71" s="252">
        <f t="shared" si="162"/>
        <v>155.78900000000004</v>
      </c>
      <c r="W71" s="259">
        <f t="shared" si="162"/>
        <v>166.5</v>
      </c>
      <c r="X71" s="252">
        <f t="shared" si="162"/>
        <v>164.47500000000002</v>
      </c>
      <c r="Y71" s="252">
        <f t="shared" si="162"/>
        <v>173.325</v>
      </c>
      <c r="Z71" s="252">
        <f t="shared" si="162"/>
        <v>141.3</v>
      </c>
      <c r="AA71" s="259">
        <f t="shared" si="162"/>
        <v>153.904</v>
      </c>
      <c r="AB71" s="252">
        <f t="shared" si="162"/>
        <v>141.95600000000002</v>
      </c>
      <c r="AC71" s="252">
        <f t="shared" si="162"/>
        <v>150.49</v>
      </c>
      <c r="AD71" s="252">
        <f t="shared" si="162"/>
        <v>138.75</v>
      </c>
      <c r="AE71" s="259">
        <f t="shared" si="162"/>
        <v>163.53147</v>
      </c>
      <c r="AF71" s="252">
        <f t="shared" si="162"/>
        <v>182.44583999999998</v>
      </c>
      <c r="AG71" s="252">
        <f aca="true" t="shared" si="163" ref="AG71:AJ72">AG130</f>
        <v>193.93959999999993</v>
      </c>
      <c r="AH71" s="267">
        <f t="shared" si="163"/>
        <v>222.54885000000013</v>
      </c>
      <c r="AI71" s="275">
        <f t="shared" si="163"/>
        <v>203.6751</v>
      </c>
      <c r="AJ71" s="252">
        <f t="shared" si="163"/>
        <v>206.37219999999996</v>
      </c>
      <c r="AK71" s="252">
        <f aca="true" t="shared" si="164" ref="AK71:AM72">AK130</f>
        <v>227.7854000000001</v>
      </c>
      <c r="AL71" s="252">
        <f t="shared" si="164"/>
        <v>244.66464999999994</v>
      </c>
      <c r="AM71" s="275">
        <f t="shared" si="164"/>
        <v>249.46189999999999</v>
      </c>
      <c r="AN71" s="252">
        <f>AN130</f>
        <v>225.91934999999998</v>
      </c>
      <c r="AO71" s="252">
        <f>AO130</f>
        <v>248.7945</v>
      </c>
      <c r="AP71" s="252">
        <f aca="true" t="shared" si="165" ref="AP71:AR72">AP130</f>
        <v>291.1038500000001</v>
      </c>
      <c r="AQ71" s="259">
        <f t="shared" si="165"/>
        <v>315.25444999999996</v>
      </c>
      <c r="AR71" s="252">
        <f t="shared" si="165"/>
        <v>315.87534999999997</v>
      </c>
      <c r="AS71" s="252">
        <f aca="true" t="shared" si="166" ref="AS71:AU72">AS130</f>
        <v>315.2215924600002</v>
      </c>
      <c r="AT71" s="252">
        <f aca="true" t="shared" si="167" ref="AT71:AY71">AT130</f>
        <v>306.59469999999993</v>
      </c>
      <c r="AU71" s="275">
        <f t="shared" si="167"/>
        <v>244.80482</v>
      </c>
      <c r="AV71" s="252">
        <f t="shared" si="167"/>
        <v>322.7982</v>
      </c>
      <c r="AW71" s="252">
        <f t="shared" si="167"/>
        <v>319.6790999999999</v>
      </c>
      <c r="AX71" s="267">
        <f t="shared" si="167"/>
        <v>292.9064100000002</v>
      </c>
      <c r="AY71" s="259">
        <f t="shared" si="167"/>
        <v>318.86965000000004</v>
      </c>
      <c r="AZ71" s="252">
        <f aca="true" t="shared" si="168" ref="AZ71:BE71">AZ130</f>
        <v>332.4537</v>
      </c>
      <c r="BA71" s="252">
        <f t="shared" si="168"/>
        <v>399.13295</v>
      </c>
      <c r="BB71" s="252">
        <f t="shared" si="168"/>
        <v>412.1373999999998</v>
      </c>
      <c r="BC71" s="259">
        <f t="shared" si="168"/>
        <v>426.08813</v>
      </c>
      <c r="BD71" s="252">
        <f t="shared" si="168"/>
        <v>404.0195</v>
      </c>
      <c r="BE71" s="252">
        <f t="shared" si="168"/>
        <v>476.75199999999995</v>
      </c>
      <c r="BF71" s="252">
        <f>BF130</f>
        <v>515.5365</v>
      </c>
      <c r="BG71" s="259">
        <f>BG130</f>
        <v>492.56370000000004</v>
      </c>
      <c r="BH71" s="252">
        <f>BH130</f>
        <v>482.4164999999999</v>
      </c>
      <c r="BI71" s="252">
        <f>BI130</f>
        <v>418.66280000000006</v>
      </c>
      <c r="BJ71" s="252">
        <f>BJ130</f>
        <v>535.1927</v>
      </c>
      <c r="BK71" s="619"/>
      <c r="BL71" s="121">
        <f aca="true" t="shared" si="169" ref="BL71:CN71">BL130</f>
        <v>75.82839999999999</v>
      </c>
      <c r="BM71" s="121">
        <f t="shared" si="169"/>
        <v>78.05539999999999</v>
      </c>
      <c r="BN71" s="121">
        <f t="shared" si="169"/>
        <v>45.38480000000004</v>
      </c>
      <c r="BO71" s="122">
        <f t="shared" si="169"/>
        <v>63.33965799999996</v>
      </c>
      <c r="BP71" s="123">
        <f t="shared" si="169"/>
        <v>47.8</v>
      </c>
      <c r="BQ71" s="124">
        <f t="shared" si="169"/>
        <v>64.57198</v>
      </c>
      <c r="BR71" s="124">
        <f t="shared" si="169"/>
        <v>44.52802000000001</v>
      </c>
      <c r="BS71" s="125">
        <f t="shared" si="169"/>
        <v>38.69999999999999</v>
      </c>
      <c r="BT71" s="123">
        <f t="shared" si="169"/>
        <v>43.7</v>
      </c>
      <c r="BU71" s="124">
        <f t="shared" si="169"/>
        <v>53.8231</v>
      </c>
      <c r="BV71" s="124">
        <f t="shared" si="169"/>
        <v>41.77689999999998</v>
      </c>
      <c r="BW71" s="125">
        <f t="shared" si="169"/>
        <v>39.20000000000002</v>
      </c>
      <c r="BX71" s="123">
        <f t="shared" si="169"/>
        <v>54.3</v>
      </c>
      <c r="BY71" s="124">
        <f t="shared" si="169"/>
        <v>67.9</v>
      </c>
      <c r="BZ71" s="124">
        <f t="shared" si="169"/>
        <v>70.10000000000001</v>
      </c>
      <c r="CA71" s="124">
        <f t="shared" si="169"/>
        <v>50.29334</v>
      </c>
      <c r="CB71" s="123">
        <f t="shared" si="169"/>
        <v>67.7</v>
      </c>
      <c r="CC71" s="124">
        <f t="shared" si="169"/>
        <v>68.2</v>
      </c>
      <c r="CD71" s="124">
        <f t="shared" si="169"/>
        <v>93.78059</v>
      </c>
      <c r="CE71" s="124">
        <f t="shared" si="169"/>
        <v>61.21940999999998</v>
      </c>
      <c r="CF71" s="123">
        <f t="shared" si="169"/>
        <v>67.642</v>
      </c>
      <c r="CG71" s="124">
        <f t="shared" si="169"/>
        <v>54.65015000000001</v>
      </c>
      <c r="CH71" s="124">
        <f t="shared" si="169"/>
        <v>65.00785000000002</v>
      </c>
      <c r="CI71" s="124">
        <f t="shared" si="169"/>
        <v>43.09999999999998</v>
      </c>
      <c r="CJ71" s="123">
        <f t="shared" si="169"/>
        <v>51.43774</v>
      </c>
      <c r="CK71" s="124">
        <f t="shared" si="169"/>
        <v>51.609620000000014</v>
      </c>
      <c r="CL71" s="124">
        <f t="shared" si="169"/>
        <v>54.436939999999986</v>
      </c>
      <c r="CM71" s="407">
        <f t="shared" si="169"/>
        <v>31.542799999999993</v>
      </c>
      <c r="CN71" s="123">
        <f t="shared" si="169"/>
        <v>59.46808</v>
      </c>
      <c r="CO71" s="124">
        <f aca="true" t="shared" si="170" ref="CO71:CT71">CO130</f>
        <v>59.20148999999999</v>
      </c>
      <c r="CP71" s="124">
        <f t="shared" si="170"/>
        <v>63.80930000000001</v>
      </c>
      <c r="CQ71" s="124">
        <f t="shared" si="170"/>
        <v>99.27471000000001</v>
      </c>
      <c r="CR71" s="473">
        <f t="shared" si="170"/>
        <v>74.17454000000001</v>
      </c>
      <c r="CS71" s="124">
        <f t="shared" si="170"/>
        <v>109.36860000000001</v>
      </c>
      <c r="CT71" s="124">
        <f t="shared" si="170"/>
        <v>128.93969799999994</v>
      </c>
      <c r="CU71" s="124">
        <f aca="true" t="shared" si="171" ref="CU71:CZ71">CU130</f>
        <v>142.25251</v>
      </c>
      <c r="CV71" s="123">
        <f t="shared" si="171"/>
        <v>113.27409</v>
      </c>
      <c r="CW71" s="124">
        <f t="shared" si="171"/>
        <v>79.40251</v>
      </c>
      <c r="CX71" s="124">
        <f t="shared" si="171"/>
        <v>98.05334999999997</v>
      </c>
      <c r="CY71" s="124">
        <f t="shared" si="171"/>
        <v>121.55265000000009</v>
      </c>
      <c r="CZ71" s="123">
        <f t="shared" si="171"/>
        <v>134.91001</v>
      </c>
      <c r="DA71" s="124">
        <f aca="true" t="shared" si="172" ref="DA71:DF71">DA130</f>
        <v>135.85954999999996</v>
      </c>
      <c r="DB71" s="124">
        <f t="shared" si="172"/>
        <v>126.60418000000004</v>
      </c>
      <c r="DC71" s="124">
        <f t="shared" si="172"/>
        <v>133.25832000000003</v>
      </c>
      <c r="DD71" s="123">
        <f t="shared" si="172"/>
        <v>129.75903499999998</v>
      </c>
      <c r="DE71" s="124">
        <f t="shared" si="172"/>
        <v>171.54994600000003</v>
      </c>
      <c r="DF71" s="124">
        <f t="shared" si="172"/>
        <v>196.15543999999994</v>
      </c>
      <c r="DG71" s="124">
        <f aca="true" t="shared" si="173" ref="DG71:DL71">DG130</f>
        <v>189.63939000000002</v>
      </c>
      <c r="DH71" s="123">
        <f t="shared" si="173"/>
        <v>206.23827000000003</v>
      </c>
      <c r="DI71" s="124">
        <f t="shared" si="173"/>
        <v>176.15147000000005</v>
      </c>
      <c r="DJ71" s="124">
        <f t="shared" si="173"/>
        <v>154.55846000000003</v>
      </c>
      <c r="DK71" s="124">
        <f t="shared" si="173"/>
        <v>299.108788</v>
      </c>
      <c r="DL71" s="123">
        <f t="shared" si="173"/>
        <v>289.978444</v>
      </c>
      <c r="DM71" s="124">
        <f aca="true" t="shared" si="174" ref="DM71:DR71">DM130</f>
        <v>348.068001</v>
      </c>
      <c r="DN71" s="124">
        <f t="shared" si="174"/>
        <v>328.79740000000004</v>
      </c>
      <c r="DO71" s="124">
        <f t="shared" si="174"/>
        <v>345.8563499999999</v>
      </c>
      <c r="DP71" s="123">
        <f t="shared" si="174"/>
        <v>348.75226200000003</v>
      </c>
      <c r="DQ71" s="124">
        <f t="shared" si="174"/>
        <v>328.29366600000003</v>
      </c>
      <c r="DR71" s="124">
        <f t="shared" si="174"/>
        <v>372.889569</v>
      </c>
      <c r="DS71" s="124">
        <f>DS130</f>
        <v>361.1880749999999</v>
      </c>
      <c r="DT71" s="91"/>
      <c r="DU71" s="109">
        <v>72.6</v>
      </c>
      <c r="DV71" s="109">
        <v>73.70000000000002</v>
      </c>
      <c r="DW71" s="109">
        <v>85.39999999999998</v>
      </c>
      <c r="DX71" s="340">
        <v>51</v>
      </c>
      <c r="DY71" s="341">
        <v>73.72765000000003</v>
      </c>
      <c r="DZ71" s="109">
        <f>FQ71-DY71</f>
        <v>62.36755000000001</v>
      </c>
      <c r="EA71" s="109">
        <f>FR71-FQ71</f>
        <v>50.609422600000016</v>
      </c>
      <c r="EB71" s="340">
        <f>FS71-FR71</f>
        <v>50.195377399999956</v>
      </c>
      <c r="EC71" s="341">
        <v>46.1697</v>
      </c>
      <c r="ED71" s="109">
        <f>FT71-EC71</f>
        <v>55.01537000000001</v>
      </c>
      <c r="EE71" s="109">
        <f>FU71-EC71-ED71</f>
        <v>54.10301000000002</v>
      </c>
      <c r="EF71" s="109">
        <f>FV71-EE71-ED71-EC71</f>
        <v>35.259199999999915</v>
      </c>
      <c r="EG71" s="341">
        <v>76.02605000000001</v>
      </c>
      <c r="EH71" s="109">
        <f>FW71-EG71</f>
        <v>55.98665000000001</v>
      </c>
      <c r="EI71" s="109">
        <f>FX71-EH71-EG71</f>
        <v>59.01463999999997</v>
      </c>
      <c r="EJ71" s="109">
        <f>FY71-EI71-EH71-EG71</f>
        <v>107.66371000000002</v>
      </c>
      <c r="EK71" s="420">
        <v>95.26381999999998</v>
      </c>
      <c r="EL71" s="109">
        <f>FZ71-EK71</f>
        <v>100.96471000000003</v>
      </c>
      <c r="EM71" s="109">
        <f>GA71-EL71-EK71</f>
        <v>107.04628</v>
      </c>
      <c r="EN71" s="109">
        <f>GB71-EM71-EL71-EK71</f>
        <v>147.152274</v>
      </c>
      <c r="EO71" s="341">
        <v>112.0037</v>
      </c>
      <c r="EP71" s="109">
        <f>GC71-EO71</f>
        <v>77.55296</v>
      </c>
      <c r="EQ71" s="109">
        <f>GD71-GC71</f>
        <v>103.40879900000007</v>
      </c>
      <c r="ER71" s="109">
        <f>GE71-GD71</f>
        <v>112.90331099999997</v>
      </c>
      <c r="ES71" s="420">
        <v>136.70792500000002</v>
      </c>
      <c r="ET71" s="109">
        <f>GF71-ES71</f>
        <v>143.32278899999991</v>
      </c>
      <c r="EU71" s="109">
        <f>GG71-ET71-ES71</f>
        <v>124.28931899999989</v>
      </c>
      <c r="EV71" s="109">
        <f>GH71-GG71</f>
        <v>121.8382610000001</v>
      </c>
      <c r="EW71" s="341">
        <v>159.55753900000002</v>
      </c>
      <c r="EX71" s="109">
        <f>GI71-EW71</f>
        <v>147.60645599999992</v>
      </c>
      <c r="EY71" s="109">
        <f>GJ71-EX71-EW71</f>
        <v>179.19783200000006</v>
      </c>
      <c r="EZ71" s="109">
        <f>GK71-GJ71</f>
        <v>156.59533399999992</v>
      </c>
      <c r="FA71" s="341">
        <f aca="true" t="shared" si="175" ref="FA71:FF71">FA73+FA75</f>
        <v>192.54755999999998</v>
      </c>
      <c r="FB71" s="109">
        <f t="shared" si="175"/>
        <v>234.52689199999998</v>
      </c>
      <c r="FC71" s="109">
        <f t="shared" si="175"/>
        <v>177.08496100000013</v>
      </c>
      <c r="FD71" s="109">
        <f t="shared" si="175"/>
        <v>275.3441919999999</v>
      </c>
      <c r="FE71" s="341">
        <f t="shared" si="175"/>
        <v>273.57061899999997</v>
      </c>
      <c r="FF71" s="109">
        <f t="shared" si="175"/>
        <v>360.9853939999999</v>
      </c>
      <c r="FG71" s="109">
        <f>FG73+FG75</f>
        <v>328.32246700000013</v>
      </c>
      <c r="FH71" s="109">
        <f>FH73+FH75</f>
        <v>387.9515870000001</v>
      </c>
      <c r="FI71" s="341">
        <f>FI73+FI75</f>
        <v>349.86656199999993</v>
      </c>
      <c r="FJ71" s="109">
        <f>FJ73+FJ75</f>
        <v>328.931546</v>
      </c>
      <c r="FK71" s="109">
        <f>FK73+FK75</f>
        <v>372.96421899999996</v>
      </c>
      <c r="FL71" s="109">
        <f>FL73+FL75</f>
        <v>360.96317500000015</v>
      </c>
      <c r="FM71" s="63"/>
      <c r="FN71" s="110">
        <f aca="true" t="shared" si="176" ref="FN71:FU71">FN24</f>
        <v>146.3</v>
      </c>
      <c r="FO71" s="110">
        <f t="shared" si="176"/>
        <v>231.7</v>
      </c>
      <c r="FP71" s="110">
        <f t="shared" si="176"/>
        <v>282.7</v>
      </c>
      <c r="FQ71" s="110">
        <f t="shared" si="176"/>
        <v>136.09520000000003</v>
      </c>
      <c r="FR71" s="110">
        <f t="shared" si="176"/>
        <v>186.70462260000005</v>
      </c>
      <c r="FS71" s="110">
        <f t="shared" si="176"/>
        <v>236.9</v>
      </c>
      <c r="FT71" s="110">
        <f t="shared" si="176"/>
        <v>101.18507000000001</v>
      </c>
      <c r="FU71" s="110">
        <f t="shared" si="176"/>
        <v>155.28808000000004</v>
      </c>
      <c r="FV71" s="110">
        <f>FV24-FV98</f>
        <v>190.54727999999994</v>
      </c>
      <c r="FW71" s="110">
        <f>FW24-FW98</f>
        <v>132.01270000000002</v>
      </c>
      <c r="FX71" s="110">
        <f>224.02734-FX98</f>
        <v>191.02734</v>
      </c>
      <c r="FY71" s="110">
        <f>349.59105-FY98</f>
        <v>298.69105</v>
      </c>
      <c r="FZ71" s="110">
        <f>227.72853-FZ98</f>
        <v>196.22853</v>
      </c>
      <c r="GA71" s="110">
        <f>357.77481-GA98</f>
        <v>303.27481</v>
      </c>
      <c r="GB71" s="110">
        <v>450.42708400000004</v>
      </c>
      <c r="GC71" s="110">
        <v>189.55666</v>
      </c>
      <c r="GD71" s="110">
        <v>292.96545900000007</v>
      </c>
      <c r="GE71" s="110">
        <v>405.86877000000004</v>
      </c>
      <c r="GF71" s="110">
        <v>280.03071399999993</v>
      </c>
      <c r="GG71" s="110">
        <v>404.32003299999985</v>
      </c>
      <c r="GH71" s="110">
        <v>526.158294</v>
      </c>
      <c r="GI71" s="110">
        <v>307.16399499999994</v>
      </c>
      <c r="GJ71" s="110">
        <v>486.361827</v>
      </c>
      <c r="GK71" s="110">
        <f aca="true" t="shared" si="177" ref="GK71:GP71">GK73+GK75</f>
        <v>642.9571609999999</v>
      </c>
      <c r="GL71" s="110">
        <f t="shared" si="177"/>
        <v>427.07445199999995</v>
      </c>
      <c r="GM71" s="110">
        <f t="shared" si="177"/>
        <v>604.1594130000001</v>
      </c>
      <c r="GN71" s="110">
        <f t="shared" si="177"/>
        <v>879.503605</v>
      </c>
      <c r="GO71" s="110">
        <f t="shared" si="177"/>
        <v>634.5560129999999</v>
      </c>
      <c r="GP71" s="110">
        <f t="shared" si="177"/>
        <v>962.8784800000001</v>
      </c>
      <c r="GQ71" s="110">
        <f>GQ73+GQ75</f>
        <v>1350.830067</v>
      </c>
      <c r="GR71" s="110">
        <f>GR73+GR75</f>
        <v>678.798108</v>
      </c>
      <c r="GS71" s="110">
        <f>GS73+GS75</f>
        <v>1051.762327</v>
      </c>
      <c r="GT71" s="110">
        <f>GT73+GT75</f>
        <v>1412.7255020000002</v>
      </c>
    </row>
    <row r="72" spans="1:202" ht="15.75">
      <c r="A72" s="100" t="s">
        <v>104</v>
      </c>
      <c r="B72" s="100" t="s">
        <v>93</v>
      </c>
      <c r="C72" s="257">
        <f>C131</f>
        <v>47.872</v>
      </c>
      <c r="D72" s="257">
        <f aca="true" t="shared" si="178" ref="D72:AF72">D131</f>
        <v>32.259</v>
      </c>
      <c r="E72" s="257">
        <f t="shared" si="178"/>
        <v>46.6931</v>
      </c>
      <c r="F72" s="258">
        <f t="shared" si="178"/>
        <v>59.598</v>
      </c>
      <c r="G72" s="256">
        <f t="shared" si="178"/>
        <v>64.1</v>
      </c>
      <c r="H72" s="257">
        <f t="shared" si="178"/>
        <v>49.93400000000001</v>
      </c>
      <c r="I72" s="257">
        <f t="shared" si="178"/>
        <v>60.266000000000005</v>
      </c>
      <c r="J72" s="258">
        <f t="shared" si="178"/>
        <v>82.30000000000001</v>
      </c>
      <c r="K72" s="256">
        <f t="shared" si="178"/>
        <v>64.36999999999999</v>
      </c>
      <c r="L72" s="257">
        <f t="shared" si="178"/>
        <v>66.57200000000002</v>
      </c>
      <c r="M72" s="257">
        <f t="shared" si="178"/>
        <v>69.371</v>
      </c>
      <c r="N72" s="258">
        <f t="shared" si="178"/>
        <v>79.587</v>
      </c>
      <c r="O72" s="256">
        <f t="shared" si="178"/>
        <v>70.08099999999999</v>
      </c>
      <c r="P72" s="257">
        <f t="shared" si="178"/>
        <v>81.71800000000002</v>
      </c>
      <c r="Q72" s="257">
        <f t="shared" si="178"/>
        <v>90.501</v>
      </c>
      <c r="R72" s="257">
        <f t="shared" si="178"/>
        <v>84.09309999999999</v>
      </c>
      <c r="S72" s="256">
        <f t="shared" si="178"/>
        <v>87</v>
      </c>
      <c r="T72" s="257">
        <f t="shared" si="178"/>
        <v>88.6</v>
      </c>
      <c r="U72" s="257">
        <f t="shared" si="178"/>
        <v>95.6</v>
      </c>
      <c r="V72" s="257">
        <f t="shared" si="178"/>
        <v>93.19999999999999</v>
      </c>
      <c r="W72" s="256">
        <f t="shared" si="178"/>
        <v>102.295</v>
      </c>
      <c r="X72" s="257">
        <f t="shared" si="178"/>
        <v>105.266</v>
      </c>
      <c r="Y72" s="257">
        <f t="shared" si="178"/>
        <v>110.73899999999999</v>
      </c>
      <c r="Z72" s="257">
        <f t="shared" si="178"/>
        <v>98.7</v>
      </c>
      <c r="AA72" s="256">
        <f t="shared" si="178"/>
        <v>104.332</v>
      </c>
      <c r="AB72" s="257">
        <f t="shared" si="178"/>
        <v>87.762</v>
      </c>
      <c r="AC72" s="257">
        <f t="shared" si="178"/>
        <v>98.041</v>
      </c>
      <c r="AD72" s="257">
        <f t="shared" si="178"/>
        <v>104.47000000000003</v>
      </c>
      <c r="AE72" s="256">
        <f t="shared" si="178"/>
        <v>104.163</v>
      </c>
      <c r="AF72" s="257">
        <f t="shared" si="178"/>
        <v>125.12000000000002</v>
      </c>
      <c r="AG72" s="257">
        <f t="shared" si="163"/>
        <v>128.81899999999996</v>
      </c>
      <c r="AH72" s="268">
        <f t="shared" si="163"/>
        <v>123.51747999999999</v>
      </c>
      <c r="AI72" s="465">
        <f t="shared" si="163"/>
        <v>128.937</v>
      </c>
      <c r="AJ72" s="257">
        <f t="shared" si="163"/>
        <v>92.01899999999998</v>
      </c>
      <c r="AK72" s="257">
        <f t="shared" si="164"/>
        <v>102.54245</v>
      </c>
      <c r="AL72" s="257">
        <f t="shared" si="164"/>
        <v>105.227</v>
      </c>
      <c r="AM72" s="465">
        <f t="shared" si="164"/>
        <v>136.234</v>
      </c>
      <c r="AN72" s="257">
        <f>AN131</f>
        <v>148.75699999999998</v>
      </c>
      <c r="AO72" s="257">
        <f>AO131</f>
        <v>146.116</v>
      </c>
      <c r="AP72" s="257">
        <f t="shared" si="165"/>
        <v>171.2236</v>
      </c>
      <c r="AQ72" s="256">
        <f t="shared" si="165"/>
        <v>178.334</v>
      </c>
      <c r="AR72" s="257">
        <f t="shared" si="165"/>
        <v>179.69979999999998</v>
      </c>
      <c r="AS72" s="257">
        <f t="shared" si="166"/>
        <v>189.98900399999997</v>
      </c>
      <c r="AT72" s="257">
        <f t="shared" si="166"/>
        <v>170.80599999999998</v>
      </c>
      <c r="AU72" s="465">
        <f t="shared" si="166"/>
        <v>117.001</v>
      </c>
      <c r="AV72" s="257">
        <f aca="true" t="shared" si="179" ref="AV72:AX77">AV131</f>
        <v>151.638</v>
      </c>
      <c r="AW72" s="257">
        <f t="shared" si="179"/>
        <v>122.67099999999999</v>
      </c>
      <c r="AX72" s="268">
        <f t="shared" si="179"/>
        <v>85.48700000000005</v>
      </c>
      <c r="AY72" s="256">
        <f aca="true" t="shared" si="180" ref="AY72:BA77">AY131</f>
        <v>123.944</v>
      </c>
      <c r="AZ72" s="257">
        <f t="shared" si="180"/>
        <v>160.428</v>
      </c>
      <c r="BA72" s="257">
        <f t="shared" si="180"/>
        <v>171.762</v>
      </c>
      <c r="BB72" s="257">
        <f aca="true" t="shared" si="181" ref="BB72:BD78">BB131</f>
        <v>126.18599999999992</v>
      </c>
      <c r="BC72" s="256">
        <f t="shared" si="181"/>
        <v>142.096</v>
      </c>
      <c r="BD72" s="257">
        <f t="shared" si="181"/>
        <v>64.678</v>
      </c>
      <c r="BE72" s="257">
        <f aca="true" t="shared" si="182" ref="BE72:BH78">BE131</f>
        <v>137.00900000000001</v>
      </c>
      <c r="BF72" s="257">
        <f t="shared" si="182"/>
        <v>181.1218</v>
      </c>
      <c r="BG72" s="256">
        <f t="shared" si="182"/>
        <v>149.645</v>
      </c>
      <c r="BH72" s="257">
        <f t="shared" si="182"/>
        <v>153.87699999999998</v>
      </c>
      <c r="BI72" s="257">
        <f aca="true" t="shared" si="183" ref="BI72:BJ78">BI131</f>
        <v>71.49700000000001</v>
      </c>
      <c r="BJ72" s="257">
        <f t="shared" si="183"/>
        <v>97.83100000000005</v>
      </c>
      <c r="BK72" s="619"/>
      <c r="BL72" s="111"/>
      <c r="BM72" s="111"/>
      <c r="BN72" s="111"/>
      <c r="BO72" s="112"/>
      <c r="BP72" s="113"/>
      <c r="BQ72" s="114"/>
      <c r="BR72" s="114"/>
      <c r="BS72" s="115"/>
      <c r="BT72" s="113"/>
      <c r="BU72" s="114"/>
      <c r="BV72" s="114"/>
      <c r="BW72" s="115"/>
      <c r="BX72" s="113"/>
      <c r="BY72" s="114"/>
      <c r="BZ72" s="114"/>
      <c r="CA72" s="114"/>
      <c r="CB72" s="113"/>
      <c r="CC72" s="114"/>
      <c r="CD72" s="114"/>
      <c r="CE72" s="114"/>
      <c r="CF72" s="113"/>
      <c r="CG72" s="114"/>
      <c r="CH72" s="114"/>
      <c r="CI72" s="114"/>
      <c r="CJ72" s="113"/>
      <c r="CK72" s="114"/>
      <c r="CL72" s="114"/>
      <c r="CM72" s="406"/>
      <c r="CN72" s="113"/>
      <c r="CO72" s="114"/>
      <c r="CP72" s="114"/>
      <c r="CQ72" s="114"/>
      <c r="CR72" s="472"/>
      <c r="CS72" s="114"/>
      <c r="CT72" s="114"/>
      <c r="CU72" s="114"/>
      <c r="CV72" s="113"/>
      <c r="CW72" s="114"/>
      <c r="CX72" s="114"/>
      <c r="CY72" s="114"/>
      <c r="CZ72" s="113"/>
      <c r="DA72" s="114"/>
      <c r="DB72" s="114"/>
      <c r="DC72" s="114"/>
      <c r="DD72" s="113"/>
      <c r="DE72" s="114"/>
      <c r="DF72" s="114"/>
      <c r="DG72" s="114"/>
      <c r="DH72" s="113"/>
      <c r="DI72" s="114"/>
      <c r="DJ72" s="114"/>
      <c r="DK72" s="114"/>
      <c r="DL72" s="113"/>
      <c r="DM72" s="114"/>
      <c r="DN72" s="114"/>
      <c r="DO72" s="114"/>
      <c r="DP72" s="113"/>
      <c r="DQ72" s="114"/>
      <c r="DR72" s="114"/>
      <c r="DS72" s="114"/>
      <c r="DT72" s="91"/>
      <c r="DU72" s="109"/>
      <c r="DV72" s="109"/>
      <c r="DW72" s="109"/>
      <c r="DX72" s="340"/>
      <c r="DY72" s="341"/>
      <c r="DZ72" s="109"/>
      <c r="EA72" s="109"/>
      <c r="EB72" s="340"/>
      <c r="EC72" s="341"/>
      <c r="ED72" s="109"/>
      <c r="EE72" s="109"/>
      <c r="EF72" s="109"/>
      <c r="EG72" s="341"/>
      <c r="EH72" s="109"/>
      <c r="EI72" s="109"/>
      <c r="EJ72" s="109"/>
      <c r="EK72" s="420"/>
      <c r="EL72" s="109"/>
      <c r="EM72" s="109"/>
      <c r="EN72" s="109"/>
      <c r="EO72" s="341"/>
      <c r="EP72" s="109"/>
      <c r="EQ72" s="109"/>
      <c r="ER72" s="109"/>
      <c r="ES72" s="420"/>
      <c r="ET72" s="109"/>
      <c r="EU72" s="109"/>
      <c r="EV72" s="109"/>
      <c r="EW72" s="341"/>
      <c r="EX72" s="109"/>
      <c r="EY72" s="109"/>
      <c r="EZ72" s="109"/>
      <c r="FA72" s="341"/>
      <c r="FB72" s="109"/>
      <c r="FC72" s="109"/>
      <c r="FD72" s="109"/>
      <c r="FE72" s="341"/>
      <c r="FF72" s="109"/>
      <c r="FG72" s="109"/>
      <c r="FH72" s="109"/>
      <c r="FI72" s="341"/>
      <c r="FJ72" s="109"/>
      <c r="FK72" s="109"/>
      <c r="FL72" s="109"/>
      <c r="FM72" s="63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</row>
    <row r="73" spans="1:202" ht="15.75">
      <c r="A73" s="566" t="s">
        <v>271</v>
      </c>
      <c r="B73" s="566" t="s">
        <v>270</v>
      </c>
      <c r="C73" s="257"/>
      <c r="D73" s="257"/>
      <c r="E73" s="257"/>
      <c r="F73" s="258"/>
      <c r="G73" s="256"/>
      <c r="H73" s="257"/>
      <c r="I73" s="257"/>
      <c r="J73" s="258"/>
      <c r="K73" s="256"/>
      <c r="L73" s="257"/>
      <c r="M73" s="257"/>
      <c r="N73" s="258"/>
      <c r="O73" s="256"/>
      <c r="P73" s="257"/>
      <c r="Q73" s="257"/>
      <c r="R73" s="257"/>
      <c r="S73" s="256"/>
      <c r="T73" s="257"/>
      <c r="U73" s="257"/>
      <c r="V73" s="257"/>
      <c r="W73" s="256"/>
      <c r="X73" s="257"/>
      <c r="Y73" s="257"/>
      <c r="Z73" s="257"/>
      <c r="AA73" s="256"/>
      <c r="AB73" s="257"/>
      <c r="AC73" s="257"/>
      <c r="AD73" s="257"/>
      <c r="AE73" s="256"/>
      <c r="AF73" s="257"/>
      <c r="AG73" s="257"/>
      <c r="AH73" s="268"/>
      <c r="AI73" s="465"/>
      <c r="AJ73" s="257"/>
      <c r="AK73" s="257"/>
      <c r="AL73" s="257"/>
      <c r="AM73" s="465"/>
      <c r="AN73" s="257"/>
      <c r="AO73" s="257"/>
      <c r="AP73" s="257"/>
      <c r="AQ73" s="259">
        <f aca="true" t="shared" si="184" ref="AQ73:AU77">AQ132</f>
        <v>142.37945</v>
      </c>
      <c r="AR73" s="252">
        <f t="shared" si="184"/>
        <v>137.20435</v>
      </c>
      <c r="AS73" s="252">
        <f t="shared" si="184"/>
        <v>129.67959245999998</v>
      </c>
      <c r="AT73" s="252">
        <f t="shared" si="184"/>
        <v>139.5747</v>
      </c>
      <c r="AU73" s="275">
        <f t="shared" si="184"/>
        <v>130.94482</v>
      </c>
      <c r="AV73" s="252">
        <f t="shared" si="179"/>
        <v>144.60231</v>
      </c>
      <c r="AW73" s="252">
        <f t="shared" si="179"/>
        <v>105.50725</v>
      </c>
      <c r="AX73" s="267">
        <f t="shared" si="179"/>
        <v>103.63713</v>
      </c>
      <c r="AY73" s="259">
        <f t="shared" si="180"/>
        <v>56.11406099999999</v>
      </c>
      <c r="AZ73" s="252">
        <f t="shared" si="180"/>
        <v>106.77160000000002</v>
      </c>
      <c r="BA73" s="252">
        <f t="shared" si="180"/>
        <v>109.63406</v>
      </c>
      <c r="BB73" s="252">
        <f t="shared" si="181"/>
        <v>127.23738</v>
      </c>
      <c r="BC73" s="259">
        <f t="shared" si="181"/>
        <v>133.62413</v>
      </c>
      <c r="BD73" s="252">
        <f t="shared" si="181"/>
        <v>169.0325</v>
      </c>
      <c r="BE73" s="252">
        <f t="shared" si="182"/>
        <v>167.44699999999992</v>
      </c>
      <c r="BF73" s="252">
        <f t="shared" si="182"/>
        <v>191.42349999999996</v>
      </c>
      <c r="BG73" s="259">
        <f t="shared" si="182"/>
        <v>175.0187</v>
      </c>
      <c r="BH73" s="252">
        <f t="shared" si="182"/>
        <v>160.8615</v>
      </c>
      <c r="BI73" s="252">
        <f t="shared" si="183"/>
        <v>99.97279999999998</v>
      </c>
      <c r="BJ73" s="252">
        <f t="shared" si="183"/>
        <v>129.6287000000001</v>
      </c>
      <c r="BK73" s="619"/>
      <c r="BL73" s="111"/>
      <c r="BM73" s="111"/>
      <c r="BN73" s="111"/>
      <c r="BO73" s="112"/>
      <c r="BP73" s="113"/>
      <c r="BQ73" s="114"/>
      <c r="BR73" s="114"/>
      <c r="BS73" s="115"/>
      <c r="BT73" s="113"/>
      <c r="BU73" s="114"/>
      <c r="BV73" s="114"/>
      <c r="BW73" s="115"/>
      <c r="BX73" s="113"/>
      <c r="BY73" s="114"/>
      <c r="BZ73" s="114"/>
      <c r="CA73" s="114"/>
      <c r="CB73" s="113"/>
      <c r="CC73" s="114"/>
      <c r="CD73" s="114"/>
      <c r="CE73" s="114"/>
      <c r="CF73" s="113"/>
      <c r="CG73" s="114"/>
      <c r="CH73" s="114"/>
      <c r="CI73" s="114"/>
      <c r="CJ73" s="113"/>
      <c r="CK73" s="114"/>
      <c r="CL73" s="114"/>
      <c r="CM73" s="406"/>
      <c r="CN73" s="113"/>
      <c r="CO73" s="114"/>
      <c r="CP73" s="114"/>
      <c r="CQ73" s="114"/>
      <c r="CR73" s="472"/>
      <c r="CS73" s="114"/>
      <c r="CT73" s="114"/>
      <c r="CU73" s="114"/>
      <c r="CV73" s="113"/>
      <c r="CW73" s="114"/>
      <c r="CX73" s="114"/>
      <c r="CY73" s="114"/>
      <c r="CZ73" s="123">
        <f>CZ132</f>
        <v>134.91001</v>
      </c>
      <c r="DA73" s="124">
        <f aca="true" t="shared" si="185" ref="DA73:DG73">DA132</f>
        <v>135.85954999999996</v>
      </c>
      <c r="DB73" s="124">
        <f t="shared" si="185"/>
        <v>126.60418000000004</v>
      </c>
      <c r="DC73" s="124">
        <f t="shared" si="185"/>
        <v>133.25832000000003</v>
      </c>
      <c r="DD73" s="123">
        <f t="shared" si="185"/>
        <v>129.75903499999998</v>
      </c>
      <c r="DE73" s="124">
        <f>DE132</f>
        <v>142.00555600000004</v>
      </c>
      <c r="DF73" s="124">
        <f t="shared" si="185"/>
        <v>106.26495999999996</v>
      </c>
      <c r="DG73" s="124">
        <f t="shared" si="185"/>
        <v>90.56835</v>
      </c>
      <c r="DH73" s="123">
        <f aca="true" t="shared" si="186" ref="DH73:DM73">DH132</f>
        <v>56.96287000000004</v>
      </c>
      <c r="DI73" s="124">
        <f t="shared" si="186"/>
        <v>95.84732000000002</v>
      </c>
      <c r="DJ73" s="124">
        <f t="shared" si="186"/>
        <v>88.73879000000002</v>
      </c>
      <c r="DK73" s="124">
        <f t="shared" si="186"/>
        <v>121.05057500000001</v>
      </c>
      <c r="DL73" s="123">
        <f t="shared" si="186"/>
        <v>139.73817400000004</v>
      </c>
      <c r="DM73" s="124">
        <f t="shared" si="186"/>
        <v>162.838011</v>
      </c>
      <c r="DN73" s="124">
        <f aca="true" t="shared" si="187" ref="DN73:DS73">DN132</f>
        <v>145.49040000000005</v>
      </c>
      <c r="DO73" s="124">
        <f t="shared" si="187"/>
        <v>162.02934999999994</v>
      </c>
      <c r="DP73" s="123">
        <f t="shared" si="187"/>
        <v>168.19626200000002</v>
      </c>
      <c r="DQ73" s="124">
        <f t="shared" si="187"/>
        <v>150.60288600000004</v>
      </c>
      <c r="DR73" s="124">
        <f t="shared" si="187"/>
        <v>106.55445900000001</v>
      </c>
      <c r="DS73" s="124">
        <f t="shared" si="187"/>
        <v>114.30007500000002</v>
      </c>
      <c r="DT73" s="91"/>
      <c r="DU73" s="109"/>
      <c r="DV73" s="109"/>
      <c r="DW73" s="109"/>
      <c r="DX73" s="340"/>
      <c r="DY73" s="341"/>
      <c r="DZ73" s="109"/>
      <c r="EA73" s="109"/>
      <c r="EB73" s="340"/>
      <c r="EC73" s="341"/>
      <c r="ED73" s="109"/>
      <c r="EE73" s="109"/>
      <c r="EF73" s="109"/>
      <c r="EG73" s="341"/>
      <c r="EH73" s="109"/>
      <c r="EI73" s="109"/>
      <c r="EJ73" s="109"/>
      <c r="EK73" s="420"/>
      <c r="EL73" s="109"/>
      <c r="EM73" s="109"/>
      <c r="EN73" s="109"/>
      <c r="EO73" s="341"/>
      <c r="EP73" s="109"/>
      <c r="EQ73" s="109"/>
      <c r="ER73" s="109"/>
      <c r="ES73" s="420"/>
      <c r="ET73" s="109"/>
      <c r="EU73" s="109"/>
      <c r="EV73" s="109"/>
      <c r="EW73" s="341"/>
      <c r="EX73" s="109"/>
      <c r="EY73" s="109"/>
      <c r="EZ73" s="109"/>
      <c r="FA73" s="341">
        <v>76.41537299999999</v>
      </c>
      <c r="FB73" s="109">
        <f>GL73-FA73</f>
        <v>105.28226899999996</v>
      </c>
      <c r="FC73" s="109">
        <f>GM73-GL73</f>
        <v>84.14992000000004</v>
      </c>
      <c r="FD73" s="109">
        <f>GN73-GM73</f>
        <v>109.53661399999993</v>
      </c>
      <c r="FE73" s="341">
        <v>139.51193800000001</v>
      </c>
      <c r="FF73" s="109">
        <f>GO73-FE73</f>
        <v>181.460164</v>
      </c>
      <c r="FG73" s="109">
        <f>GP73-GO73</f>
        <v>144.96546699999993</v>
      </c>
      <c r="FH73" s="109">
        <f>GQ73-GP73</f>
        <v>176.44158100000004</v>
      </c>
      <c r="FI73" s="341">
        <v>169.31056199999998</v>
      </c>
      <c r="FJ73" s="109">
        <f>GR73-FI73</f>
        <v>151.08354600000004</v>
      </c>
      <c r="FK73" s="109">
        <f>GS73-GR73</f>
        <v>106.62910899999997</v>
      </c>
      <c r="FL73" s="109">
        <f>GT73-GS73</f>
        <v>114.075175</v>
      </c>
      <c r="FM73" s="63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>
        <v>463.989035</v>
      </c>
      <c r="GL73" s="110">
        <v>181.69764199999995</v>
      </c>
      <c r="GM73" s="110">
        <v>265.847562</v>
      </c>
      <c r="GN73" s="110">
        <v>375.3841759999999</v>
      </c>
      <c r="GO73" s="110">
        <v>320.972102</v>
      </c>
      <c r="GP73" s="110">
        <v>465.93756899999994</v>
      </c>
      <c r="GQ73" s="110">
        <v>642.37915</v>
      </c>
      <c r="GR73" s="110">
        <v>320.394108</v>
      </c>
      <c r="GS73" s="110">
        <v>427.023217</v>
      </c>
      <c r="GT73" s="110">
        <v>541.098392</v>
      </c>
    </row>
    <row r="74" spans="1:202" ht="15.75">
      <c r="A74" s="100" t="s">
        <v>99</v>
      </c>
      <c r="B74" s="100" t="s">
        <v>93</v>
      </c>
      <c r="C74" s="257"/>
      <c r="D74" s="257"/>
      <c r="E74" s="257"/>
      <c r="F74" s="258"/>
      <c r="G74" s="256"/>
      <c r="H74" s="257"/>
      <c r="I74" s="257"/>
      <c r="J74" s="258"/>
      <c r="K74" s="256"/>
      <c r="L74" s="257"/>
      <c r="M74" s="257"/>
      <c r="N74" s="258"/>
      <c r="O74" s="256"/>
      <c r="P74" s="257"/>
      <c r="Q74" s="257"/>
      <c r="R74" s="257"/>
      <c r="S74" s="256"/>
      <c r="T74" s="257"/>
      <c r="U74" s="257"/>
      <c r="V74" s="257"/>
      <c r="W74" s="256"/>
      <c r="X74" s="257"/>
      <c r="Y74" s="257"/>
      <c r="Z74" s="257"/>
      <c r="AA74" s="256"/>
      <c r="AB74" s="257"/>
      <c r="AC74" s="257"/>
      <c r="AD74" s="257"/>
      <c r="AE74" s="256"/>
      <c r="AF74" s="257"/>
      <c r="AG74" s="257"/>
      <c r="AH74" s="268"/>
      <c r="AI74" s="465"/>
      <c r="AJ74" s="257"/>
      <c r="AK74" s="257"/>
      <c r="AL74" s="257"/>
      <c r="AM74" s="465"/>
      <c r="AN74" s="257"/>
      <c r="AO74" s="257"/>
      <c r="AP74" s="257"/>
      <c r="AQ74" s="256">
        <f t="shared" si="184"/>
        <v>5.459</v>
      </c>
      <c r="AR74" s="257">
        <f t="shared" si="184"/>
        <v>1.0288</v>
      </c>
      <c r="AS74" s="257">
        <f t="shared" si="184"/>
        <v>4.447004</v>
      </c>
      <c r="AT74" s="257">
        <f t="shared" si="184"/>
        <v>3.786</v>
      </c>
      <c r="AU74" s="465">
        <f t="shared" si="184"/>
        <v>3.141</v>
      </c>
      <c r="AV74" s="257">
        <f t="shared" si="179"/>
        <v>4.912</v>
      </c>
      <c r="AW74" s="257">
        <f t="shared" si="179"/>
        <v>2.85701</v>
      </c>
      <c r="AX74" s="268">
        <f t="shared" si="179"/>
        <v>5.139</v>
      </c>
      <c r="AY74" s="256">
        <f t="shared" si="180"/>
        <v>4.985</v>
      </c>
      <c r="AZ74" s="257">
        <f t="shared" si="180"/>
        <v>5.8</v>
      </c>
      <c r="BA74" s="257">
        <f t="shared" si="180"/>
        <v>4.644</v>
      </c>
      <c r="BB74" s="257">
        <f t="shared" si="181"/>
        <v>1.1560000000000015</v>
      </c>
      <c r="BC74" s="256">
        <f t="shared" si="181"/>
        <v>2.426</v>
      </c>
      <c r="BD74" s="257">
        <f t="shared" si="181"/>
        <v>6.547</v>
      </c>
      <c r="BE74" s="257">
        <f t="shared" si="182"/>
        <v>7.3349999999999955</v>
      </c>
      <c r="BF74" s="257">
        <f t="shared" si="182"/>
        <v>28.294800000000002</v>
      </c>
      <c r="BG74" s="256">
        <f t="shared" si="182"/>
        <v>9.121</v>
      </c>
      <c r="BH74" s="257">
        <f t="shared" si="182"/>
        <v>11.183000000000002</v>
      </c>
      <c r="BI74" s="257">
        <f t="shared" si="183"/>
        <v>13.685490000000003</v>
      </c>
      <c r="BJ74" s="257">
        <f t="shared" si="183"/>
        <v>5.242997999999998</v>
      </c>
      <c r="BK74" s="619"/>
      <c r="BL74" s="111"/>
      <c r="BM74" s="111"/>
      <c r="BN74" s="111"/>
      <c r="BO74" s="112"/>
      <c r="BP74" s="113"/>
      <c r="BQ74" s="114"/>
      <c r="BR74" s="114"/>
      <c r="BS74" s="115"/>
      <c r="BT74" s="113"/>
      <c r="BU74" s="114"/>
      <c r="BV74" s="114"/>
      <c r="BW74" s="115"/>
      <c r="BX74" s="113"/>
      <c r="BY74" s="114"/>
      <c r="BZ74" s="114"/>
      <c r="CA74" s="114"/>
      <c r="CB74" s="113"/>
      <c r="CC74" s="114"/>
      <c r="CD74" s="114"/>
      <c r="CE74" s="114"/>
      <c r="CF74" s="113"/>
      <c r="CG74" s="114"/>
      <c r="CH74" s="114"/>
      <c r="CI74" s="114"/>
      <c r="CJ74" s="113"/>
      <c r="CK74" s="114"/>
      <c r="CL74" s="114"/>
      <c r="CM74" s="406"/>
      <c r="CN74" s="113"/>
      <c r="CO74" s="114"/>
      <c r="CP74" s="114"/>
      <c r="CQ74" s="114"/>
      <c r="CR74" s="472"/>
      <c r="CS74" s="114"/>
      <c r="CT74" s="114"/>
      <c r="CU74" s="114"/>
      <c r="CV74" s="113"/>
      <c r="CW74" s="114"/>
      <c r="CX74" s="114"/>
      <c r="CY74" s="114"/>
      <c r="CZ74" s="113"/>
      <c r="DA74" s="114"/>
      <c r="DB74" s="114"/>
      <c r="DC74" s="114"/>
      <c r="DD74" s="113"/>
      <c r="DE74" s="114"/>
      <c r="DF74" s="114"/>
      <c r="DG74" s="114"/>
      <c r="DH74" s="113"/>
      <c r="DI74" s="114"/>
      <c r="DJ74" s="114"/>
      <c r="DK74" s="114"/>
      <c r="DL74" s="113"/>
      <c r="DM74" s="114"/>
      <c r="DN74" s="114"/>
      <c r="DO74" s="114"/>
      <c r="DP74" s="113"/>
      <c r="DQ74" s="114"/>
      <c r="DR74" s="114"/>
      <c r="DS74" s="114"/>
      <c r="DT74" s="91"/>
      <c r="DU74" s="109"/>
      <c r="DV74" s="109"/>
      <c r="DW74" s="109"/>
      <c r="DX74" s="340"/>
      <c r="DY74" s="341"/>
      <c r="DZ74" s="109"/>
      <c r="EA74" s="109"/>
      <c r="EB74" s="340"/>
      <c r="EC74" s="341"/>
      <c r="ED74" s="109"/>
      <c r="EE74" s="109"/>
      <c r="EF74" s="109"/>
      <c r="EG74" s="341"/>
      <c r="EH74" s="109"/>
      <c r="EI74" s="109"/>
      <c r="EJ74" s="109"/>
      <c r="EK74" s="420"/>
      <c r="EL74" s="109"/>
      <c r="EM74" s="109"/>
      <c r="EN74" s="109"/>
      <c r="EO74" s="341"/>
      <c r="EP74" s="109"/>
      <c r="EQ74" s="109"/>
      <c r="ER74" s="109"/>
      <c r="ES74" s="420"/>
      <c r="ET74" s="109"/>
      <c r="EU74" s="109"/>
      <c r="EV74" s="109"/>
      <c r="EW74" s="341"/>
      <c r="EX74" s="109"/>
      <c r="EY74" s="109"/>
      <c r="EZ74" s="109"/>
      <c r="FA74" s="341"/>
      <c r="FB74" s="109"/>
      <c r="FC74" s="109"/>
      <c r="FD74" s="109"/>
      <c r="FE74" s="341"/>
      <c r="FF74" s="109"/>
      <c r="FG74" s="109"/>
      <c r="FH74" s="109"/>
      <c r="FI74" s="341"/>
      <c r="FJ74" s="109"/>
      <c r="FK74" s="109"/>
      <c r="FL74" s="109"/>
      <c r="FM74" s="63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</row>
    <row r="75" spans="1:202" ht="15.75">
      <c r="A75" s="566" t="s">
        <v>272</v>
      </c>
      <c r="B75" s="566" t="s">
        <v>269</v>
      </c>
      <c r="C75" s="257"/>
      <c r="D75" s="257"/>
      <c r="E75" s="257"/>
      <c r="F75" s="258"/>
      <c r="G75" s="256"/>
      <c r="H75" s="257"/>
      <c r="I75" s="257"/>
      <c r="J75" s="258"/>
      <c r="K75" s="256"/>
      <c r="L75" s="257"/>
      <c r="M75" s="257"/>
      <c r="N75" s="258"/>
      <c r="O75" s="256"/>
      <c r="P75" s="257"/>
      <c r="Q75" s="257"/>
      <c r="R75" s="257"/>
      <c r="S75" s="256"/>
      <c r="T75" s="257"/>
      <c r="U75" s="257"/>
      <c r="V75" s="257"/>
      <c r="W75" s="256"/>
      <c r="X75" s="257"/>
      <c r="Y75" s="257"/>
      <c r="Z75" s="257"/>
      <c r="AA75" s="256"/>
      <c r="AB75" s="257"/>
      <c r="AC75" s="257"/>
      <c r="AD75" s="257"/>
      <c r="AE75" s="256"/>
      <c r="AF75" s="257"/>
      <c r="AG75" s="257"/>
      <c r="AH75" s="268"/>
      <c r="AI75" s="465"/>
      <c r="AJ75" s="257"/>
      <c r="AK75" s="257"/>
      <c r="AL75" s="257"/>
      <c r="AM75" s="465"/>
      <c r="AN75" s="257"/>
      <c r="AO75" s="257"/>
      <c r="AP75" s="257"/>
      <c r="AQ75" s="259">
        <f t="shared" si="184"/>
        <v>0</v>
      </c>
      <c r="AR75" s="252">
        <f t="shared" si="184"/>
        <v>0</v>
      </c>
      <c r="AS75" s="252">
        <f t="shared" si="184"/>
        <v>0</v>
      </c>
      <c r="AT75" s="252">
        <f t="shared" si="184"/>
        <v>0</v>
      </c>
      <c r="AU75" s="275">
        <f t="shared" si="184"/>
        <v>0</v>
      </c>
      <c r="AV75" s="252">
        <f t="shared" si="179"/>
        <v>34.10189</v>
      </c>
      <c r="AW75" s="252">
        <f t="shared" si="179"/>
        <v>111.19485</v>
      </c>
      <c r="AX75" s="267">
        <f t="shared" si="179"/>
        <v>115.48728</v>
      </c>
      <c r="AY75" s="259">
        <f t="shared" si="180"/>
        <v>150.901589</v>
      </c>
      <c r="AZ75" s="252">
        <f t="shared" si="180"/>
        <v>79.98910000000001</v>
      </c>
      <c r="BA75" s="252">
        <f t="shared" si="180"/>
        <v>133.05589</v>
      </c>
      <c r="BB75" s="252">
        <f t="shared" si="181"/>
        <v>164.63950000000003</v>
      </c>
      <c r="BC75" s="259">
        <f t="shared" si="181"/>
        <v>161.045</v>
      </c>
      <c r="BD75" s="252">
        <f t="shared" si="181"/>
        <v>179.84</v>
      </c>
      <c r="BE75" s="252">
        <f t="shared" si="182"/>
        <v>179.76899999999998</v>
      </c>
      <c r="BF75" s="252">
        <f t="shared" si="182"/>
        <v>171.30200000000005</v>
      </c>
      <c r="BG75" s="259">
        <f t="shared" si="182"/>
        <v>177.024</v>
      </c>
      <c r="BH75" s="252">
        <f t="shared" si="182"/>
        <v>179.17399999999998</v>
      </c>
      <c r="BI75" s="252">
        <f t="shared" si="183"/>
        <v>263.48</v>
      </c>
      <c r="BJ75" s="252">
        <f t="shared" si="183"/>
        <v>322.86199999999997</v>
      </c>
      <c r="BK75" s="619"/>
      <c r="BL75" s="111"/>
      <c r="BM75" s="111"/>
      <c r="BN75" s="111"/>
      <c r="BO75" s="112"/>
      <c r="BP75" s="113"/>
      <c r="BQ75" s="114"/>
      <c r="BR75" s="114"/>
      <c r="BS75" s="115"/>
      <c r="BT75" s="113"/>
      <c r="BU75" s="114"/>
      <c r="BV75" s="114"/>
      <c r="BW75" s="115"/>
      <c r="BX75" s="113"/>
      <c r="BY75" s="114"/>
      <c r="BZ75" s="114"/>
      <c r="CA75" s="114"/>
      <c r="CB75" s="113"/>
      <c r="CC75" s="114"/>
      <c r="CD75" s="114"/>
      <c r="CE75" s="114"/>
      <c r="CF75" s="113"/>
      <c r="CG75" s="114"/>
      <c r="CH75" s="114"/>
      <c r="CI75" s="114"/>
      <c r="CJ75" s="113"/>
      <c r="CK75" s="114"/>
      <c r="CL75" s="114"/>
      <c r="CM75" s="406"/>
      <c r="CN75" s="113"/>
      <c r="CO75" s="114"/>
      <c r="CP75" s="114"/>
      <c r="CQ75" s="114"/>
      <c r="CR75" s="472"/>
      <c r="CS75" s="114"/>
      <c r="CT75" s="114"/>
      <c r="CU75" s="114"/>
      <c r="CV75" s="113"/>
      <c r="CW75" s="114"/>
      <c r="CX75" s="114"/>
      <c r="CY75" s="114"/>
      <c r="CZ75" s="123">
        <f>CZ134</f>
        <v>0</v>
      </c>
      <c r="DA75" s="124">
        <f aca="true" t="shared" si="188" ref="DA75:DG75">DA134</f>
        <v>0</v>
      </c>
      <c r="DB75" s="124">
        <f t="shared" si="188"/>
        <v>0</v>
      </c>
      <c r="DC75" s="124">
        <f t="shared" si="188"/>
        <v>0</v>
      </c>
      <c r="DD75" s="123">
        <f t="shared" si="188"/>
        <v>0</v>
      </c>
      <c r="DE75" s="124">
        <f t="shared" si="188"/>
        <v>29.54439</v>
      </c>
      <c r="DF75" s="124">
        <f t="shared" si="188"/>
        <v>89.89047999999998</v>
      </c>
      <c r="DG75" s="124">
        <f t="shared" si="188"/>
        <v>99.07104000000002</v>
      </c>
      <c r="DH75" s="123">
        <f aca="true" t="shared" si="189" ref="DH75:DM75">DH134</f>
        <v>149.2754</v>
      </c>
      <c r="DI75" s="124">
        <f t="shared" si="189"/>
        <v>80.30415000000002</v>
      </c>
      <c r="DJ75" s="124">
        <f t="shared" si="189"/>
        <v>65.81967</v>
      </c>
      <c r="DK75" s="124">
        <f t="shared" si="189"/>
        <v>178.05821300000002</v>
      </c>
      <c r="DL75" s="123">
        <f t="shared" si="189"/>
        <v>150.24026999999998</v>
      </c>
      <c r="DM75" s="124">
        <f t="shared" si="189"/>
        <v>185.22999</v>
      </c>
      <c r="DN75" s="124">
        <f aca="true" t="shared" si="190" ref="DN75:DS75">DN134</f>
        <v>183.307</v>
      </c>
      <c r="DO75" s="124">
        <f t="shared" si="190"/>
        <v>183.82699999999997</v>
      </c>
      <c r="DP75" s="123">
        <f t="shared" si="190"/>
        <v>180.556</v>
      </c>
      <c r="DQ75" s="124">
        <f t="shared" si="190"/>
        <v>177.69078</v>
      </c>
      <c r="DR75" s="124">
        <f t="shared" si="190"/>
        <v>266.33511</v>
      </c>
      <c r="DS75" s="124">
        <f t="shared" si="190"/>
        <v>246.88799999999992</v>
      </c>
      <c r="DT75" s="91"/>
      <c r="DU75" s="109"/>
      <c r="DV75" s="109"/>
      <c r="DW75" s="109"/>
      <c r="DX75" s="340"/>
      <c r="DY75" s="341"/>
      <c r="DZ75" s="109"/>
      <c r="EA75" s="109"/>
      <c r="EB75" s="340"/>
      <c r="EC75" s="341"/>
      <c r="ED75" s="109"/>
      <c r="EE75" s="109"/>
      <c r="EF75" s="109"/>
      <c r="EG75" s="341"/>
      <c r="EH75" s="109"/>
      <c r="EI75" s="109"/>
      <c r="EJ75" s="109"/>
      <c r="EK75" s="420"/>
      <c r="EL75" s="109"/>
      <c r="EM75" s="109"/>
      <c r="EN75" s="109"/>
      <c r="EO75" s="341"/>
      <c r="EP75" s="109"/>
      <c r="EQ75" s="109"/>
      <c r="ER75" s="109"/>
      <c r="ES75" s="420"/>
      <c r="ET75" s="109"/>
      <c r="EU75" s="109"/>
      <c r="EV75" s="109"/>
      <c r="EW75" s="341"/>
      <c r="EX75" s="109"/>
      <c r="EY75" s="109"/>
      <c r="EZ75" s="109"/>
      <c r="FA75" s="341">
        <v>116.13218699999999</v>
      </c>
      <c r="FB75" s="109">
        <f>GL75-FA75</f>
        <v>129.24462300000002</v>
      </c>
      <c r="FC75" s="109">
        <f>GM75-GL75</f>
        <v>92.9350410000001</v>
      </c>
      <c r="FD75" s="109">
        <f>GN75-GM75</f>
        <v>165.80757799999998</v>
      </c>
      <c r="FE75" s="341">
        <v>134.05868099999998</v>
      </c>
      <c r="FF75" s="109">
        <f>GO75-FE75</f>
        <v>179.5252299999999</v>
      </c>
      <c r="FG75" s="109">
        <f>GP75-GO75</f>
        <v>183.3570000000002</v>
      </c>
      <c r="FH75" s="109">
        <f>GQ75-GP75</f>
        <v>211.51000600000003</v>
      </c>
      <c r="FI75" s="341">
        <v>180.55599999999998</v>
      </c>
      <c r="FJ75" s="109">
        <f>GR75-FI75</f>
        <v>177.848</v>
      </c>
      <c r="FK75" s="109">
        <f>GS75-GR75</f>
        <v>266.33511</v>
      </c>
      <c r="FL75" s="109">
        <f>GT75-GS75</f>
        <v>246.88800000000015</v>
      </c>
      <c r="FM75" s="63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>
        <v>178.96812599999996</v>
      </c>
      <c r="GL75" s="110">
        <v>245.37681</v>
      </c>
      <c r="GM75" s="110">
        <v>338.3118510000001</v>
      </c>
      <c r="GN75" s="110">
        <v>504.1194290000001</v>
      </c>
      <c r="GO75" s="110">
        <v>313.5839109999999</v>
      </c>
      <c r="GP75" s="110">
        <v>496.9409110000001</v>
      </c>
      <c r="GQ75" s="110">
        <v>708.4509170000001</v>
      </c>
      <c r="GR75" s="110">
        <v>358.404</v>
      </c>
      <c r="GS75" s="110">
        <v>624.73911</v>
      </c>
      <c r="GT75" s="110">
        <v>871.6271100000001</v>
      </c>
    </row>
    <row r="76" spans="1:202" ht="15.75">
      <c r="A76" s="100" t="s">
        <v>99</v>
      </c>
      <c r="B76" s="100" t="s">
        <v>93</v>
      </c>
      <c r="C76" s="257"/>
      <c r="D76" s="257"/>
      <c r="E76" s="257"/>
      <c r="F76" s="258"/>
      <c r="G76" s="256"/>
      <c r="H76" s="257"/>
      <c r="I76" s="257"/>
      <c r="J76" s="258"/>
      <c r="K76" s="256"/>
      <c r="L76" s="257"/>
      <c r="M76" s="257"/>
      <c r="N76" s="258"/>
      <c r="O76" s="256"/>
      <c r="P76" s="257"/>
      <c r="Q76" s="257"/>
      <c r="R76" s="257"/>
      <c r="S76" s="256"/>
      <c r="T76" s="257"/>
      <c r="U76" s="257"/>
      <c r="V76" s="257"/>
      <c r="W76" s="256"/>
      <c r="X76" s="257"/>
      <c r="Y76" s="257"/>
      <c r="Z76" s="257"/>
      <c r="AA76" s="256"/>
      <c r="AB76" s="257"/>
      <c r="AC76" s="257"/>
      <c r="AD76" s="257"/>
      <c r="AE76" s="256"/>
      <c r="AF76" s="257"/>
      <c r="AG76" s="257"/>
      <c r="AH76" s="268"/>
      <c r="AI76" s="465"/>
      <c r="AJ76" s="257"/>
      <c r="AK76" s="257"/>
      <c r="AL76" s="257"/>
      <c r="AM76" s="465"/>
      <c r="AN76" s="257"/>
      <c r="AO76" s="257"/>
      <c r="AP76" s="257"/>
      <c r="AQ76" s="256">
        <f t="shared" si="184"/>
        <v>0</v>
      </c>
      <c r="AR76" s="257">
        <f t="shared" si="184"/>
        <v>0</v>
      </c>
      <c r="AS76" s="257">
        <f t="shared" si="184"/>
        <v>0</v>
      </c>
      <c r="AT76" s="257">
        <f t="shared" si="184"/>
        <v>0</v>
      </c>
      <c r="AU76" s="465">
        <f t="shared" si="184"/>
        <v>0</v>
      </c>
      <c r="AV76" s="257">
        <f t="shared" si="179"/>
        <v>2.632</v>
      </c>
      <c r="AW76" s="257">
        <f t="shared" si="179"/>
        <v>16.83699</v>
      </c>
      <c r="AX76" s="268">
        <f t="shared" si="179"/>
        <v>6.566</v>
      </c>
      <c r="AY76" s="256">
        <f t="shared" si="180"/>
        <v>7.165</v>
      </c>
      <c r="AZ76" s="257">
        <f t="shared" si="180"/>
        <v>8.875</v>
      </c>
      <c r="BA76" s="257">
        <f t="shared" si="180"/>
        <v>10.75</v>
      </c>
      <c r="BB76" s="257">
        <f t="shared" si="181"/>
        <v>4.893000000000004</v>
      </c>
      <c r="BC76" s="256">
        <f t="shared" si="181"/>
        <v>8.122</v>
      </c>
      <c r="BD76" s="257">
        <f t="shared" si="181"/>
        <v>2.915</v>
      </c>
      <c r="BE76" s="257">
        <f t="shared" si="182"/>
        <v>0.13799999999999812</v>
      </c>
      <c r="BF76" s="257">
        <f t="shared" si="182"/>
        <v>0.2140000000000013</v>
      </c>
      <c r="BG76" s="256">
        <f t="shared" si="182"/>
        <v>0</v>
      </c>
      <c r="BH76" s="257">
        <f t="shared" si="182"/>
        <v>0.328</v>
      </c>
      <c r="BI76" s="257">
        <f t="shared" si="183"/>
        <v>2.58251</v>
      </c>
      <c r="BJ76" s="257">
        <f t="shared" si="183"/>
        <v>9.89</v>
      </c>
      <c r="BK76" s="619"/>
      <c r="BL76" s="111"/>
      <c r="BM76" s="111"/>
      <c r="BN76" s="111"/>
      <c r="BO76" s="112"/>
      <c r="BP76" s="113"/>
      <c r="BQ76" s="114"/>
      <c r="BR76" s="114"/>
      <c r="BS76" s="115"/>
      <c r="BT76" s="113"/>
      <c r="BU76" s="114"/>
      <c r="BV76" s="114"/>
      <c r="BW76" s="115"/>
      <c r="BX76" s="113"/>
      <c r="BY76" s="114"/>
      <c r="BZ76" s="114"/>
      <c r="CA76" s="114"/>
      <c r="CB76" s="113"/>
      <c r="CC76" s="114"/>
      <c r="CD76" s="114"/>
      <c r="CE76" s="114"/>
      <c r="CF76" s="113"/>
      <c r="CG76" s="114"/>
      <c r="CH76" s="114"/>
      <c r="CI76" s="114"/>
      <c r="CJ76" s="113"/>
      <c r="CK76" s="114"/>
      <c r="CL76" s="114"/>
      <c r="CM76" s="406"/>
      <c r="CN76" s="113"/>
      <c r="CO76" s="114"/>
      <c r="CP76" s="114"/>
      <c r="CQ76" s="114"/>
      <c r="CR76" s="472"/>
      <c r="CS76" s="114"/>
      <c r="CT76" s="114"/>
      <c r="CU76" s="114"/>
      <c r="CV76" s="113"/>
      <c r="CW76" s="114"/>
      <c r="CX76" s="114"/>
      <c r="CY76" s="114"/>
      <c r="CZ76" s="113"/>
      <c r="DA76" s="114"/>
      <c r="DB76" s="114"/>
      <c r="DC76" s="114"/>
      <c r="DD76" s="113"/>
      <c r="DE76" s="114"/>
      <c r="DF76" s="114"/>
      <c r="DG76" s="114"/>
      <c r="DH76" s="113"/>
      <c r="DI76" s="114"/>
      <c r="DJ76" s="114"/>
      <c r="DK76" s="114"/>
      <c r="DL76" s="113"/>
      <c r="DM76" s="114"/>
      <c r="DN76" s="114"/>
      <c r="DO76" s="114"/>
      <c r="DP76" s="113"/>
      <c r="DQ76" s="114"/>
      <c r="DR76" s="114"/>
      <c r="DS76" s="114"/>
      <c r="DT76" s="91"/>
      <c r="DU76" s="109"/>
      <c r="DV76" s="109"/>
      <c r="DW76" s="109"/>
      <c r="DX76" s="340"/>
      <c r="DY76" s="341"/>
      <c r="DZ76" s="109"/>
      <c r="EA76" s="109"/>
      <c r="EB76" s="340"/>
      <c r="EC76" s="341"/>
      <c r="ED76" s="109"/>
      <c r="EE76" s="109"/>
      <c r="EF76" s="109"/>
      <c r="EG76" s="341"/>
      <c r="EH76" s="109"/>
      <c r="EI76" s="109"/>
      <c r="EJ76" s="109"/>
      <c r="EK76" s="420"/>
      <c r="EL76" s="109"/>
      <c r="EM76" s="109"/>
      <c r="EN76" s="109"/>
      <c r="EO76" s="341"/>
      <c r="EP76" s="109"/>
      <c r="EQ76" s="109"/>
      <c r="ER76" s="109"/>
      <c r="ES76" s="420"/>
      <c r="ET76" s="109"/>
      <c r="EU76" s="109"/>
      <c r="EV76" s="109"/>
      <c r="EW76" s="341"/>
      <c r="EX76" s="109"/>
      <c r="EY76" s="109"/>
      <c r="EZ76" s="109"/>
      <c r="FA76" s="341"/>
      <c r="FB76" s="109"/>
      <c r="FC76" s="109"/>
      <c r="FD76" s="109"/>
      <c r="FE76" s="341"/>
      <c r="FF76" s="109"/>
      <c r="FG76" s="109"/>
      <c r="FH76" s="109"/>
      <c r="FI76" s="341"/>
      <c r="FJ76" s="109"/>
      <c r="FK76" s="109"/>
      <c r="FL76" s="109"/>
      <c r="FM76" s="63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</row>
    <row r="77" spans="1:202" ht="15.75">
      <c r="A77" s="116" t="s">
        <v>134</v>
      </c>
      <c r="B77" s="117" t="s">
        <v>64</v>
      </c>
      <c r="C77" s="252">
        <f>C136</f>
        <v>87.2964</v>
      </c>
      <c r="D77" s="252">
        <f aca="true" t="shared" si="191" ref="D77:AF77">D136</f>
        <v>41.41559999999998</v>
      </c>
      <c r="E77" s="252">
        <f t="shared" si="191"/>
        <v>78.9676</v>
      </c>
      <c r="F77" s="260">
        <f t="shared" si="191"/>
        <v>109.94150000000002</v>
      </c>
      <c r="G77" s="259">
        <f t="shared" si="191"/>
        <v>129.6</v>
      </c>
      <c r="H77" s="252">
        <f t="shared" si="191"/>
        <v>93.7088</v>
      </c>
      <c r="I77" s="252">
        <f t="shared" si="191"/>
        <v>120.49120000000002</v>
      </c>
      <c r="J77" s="260">
        <f t="shared" si="191"/>
        <v>169.7</v>
      </c>
      <c r="K77" s="259">
        <f t="shared" si="191"/>
        <v>126.7</v>
      </c>
      <c r="L77" s="252">
        <f t="shared" si="191"/>
        <v>131.37080000000003</v>
      </c>
      <c r="M77" s="252">
        <f t="shared" si="191"/>
        <v>128.92219999999998</v>
      </c>
      <c r="N77" s="260">
        <f t="shared" si="191"/>
        <v>162.007</v>
      </c>
      <c r="O77" s="259">
        <f t="shared" si="191"/>
        <v>144.0567</v>
      </c>
      <c r="P77" s="252">
        <f t="shared" si="191"/>
        <v>167.8192</v>
      </c>
      <c r="Q77" s="252">
        <f t="shared" si="191"/>
        <v>194.24520000000004</v>
      </c>
      <c r="R77" s="252">
        <f t="shared" si="191"/>
        <v>182.58277999999996</v>
      </c>
      <c r="S77" s="259">
        <f t="shared" si="191"/>
        <v>187.5</v>
      </c>
      <c r="T77" s="252">
        <f t="shared" si="191"/>
        <v>194.10000000000002</v>
      </c>
      <c r="U77" s="252">
        <f t="shared" si="191"/>
        <v>213.41340000000002</v>
      </c>
      <c r="V77" s="252">
        <f t="shared" si="191"/>
        <v>211.98659999999995</v>
      </c>
      <c r="W77" s="259">
        <f t="shared" si="191"/>
        <v>235.024</v>
      </c>
      <c r="X77" s="252">
        <f t="shared" si="191"/>
        <v>241.2738</v>
      </c>
      <c r="Y77" s="252">
        <f t="shared" si="191"/>
        <v>244.2022</v>
      </c>
      <c r="Z77" s="252">
        <f t="shared" si="191"/>
        <v>216.3</v>
      </c>
      <c r="AA77" s="259">
        <f t="shared" si="191"/>
        <v>224.4425</v>
      </c>
      <c r="AB77" s="252">
        <f t="shared" si="191"/>
        <v>183.7597</v>
      </c>
      <c r="AC77" s="252">
        <f t="shared" si="191"/>
        <v>214.29760000000005</v>
      </c>
      <c r="AD77" s="252">
        <f t="shared" si="191"/>
        <v>237.0843999999999</v>
      </c>
      <c r="AE77" s="259">
        <f t="shared" si="191"/>
        <v>240.1984</v>
      </c>
      <c r="AF77" s="252">
        <f t="shared" si="191"/>
        <v>296.2092</v>
      </c>
      <c r="AG77" s="252">
        <f aca="true" t="shared" si="192" ref="AG77:AP77">AG136</f>
        <v>299.43999999999994</v>
      </c>
      <c r="AH77" s="267">
        <f t="shared" si="192"/>
        <v>288.8760000000001</v>
      </c>
      <c r="AI77" s="275">
        <f t="shared" si="192"/>
        <v>297.1445</v>
      </c>
      <c r="AJ77" s="252">
        <f t="shared" si="192"/>
        <v>199.8555</v>
      </c>
      <c r="AK77" s="252">
        <f t="shared" si="192"/>
        <v>221.65890000000002</v>
      </c>
      <c r="AL77" s="252">
        <f t="shared" si="192"/>
        <v>231.11900000000003</v>
      </c>
      <c r="AM77" s="275">
        <f t="shared" si="192"/>
        <v>315.7476</v>
      </c>
      <c r="AN77" s="252">
        <f t="shared" si="192"/>
        <v>350.9585</v>
      </c>
      <c r="AO77" s="252">
        <f t="shared" si="192"/>
        <v>340.7229999999999</v>
      </c>
      <c r="AP77" s="252">
        <f t="shared" si="192"/>
        <v>414.2359000000002</v>
      </c>
      <c r="AQ77" s="259">
        <f t="shared" si="184"/>
        <v>425.7534</v>
      </c>
      <c r="AR77" s="252">
        <f t="shared" si="184"/>
        <v>431.93000000000023</v>
      </c>
      <c r="AS77" s="252">
        <f t="shared" si="184"/>
        <v>454.59379999999993</v>
      </c>
      <c r="AT77" s="252">
        <f t="shared" si="184"/>
        <v>416.6761999999998</v>
      </c>
      <c r="AU77" s="275">
        <f t="shared" si="184"/>
        <v>265.08289999999994</v>
      </c>
      <c r="AV77" s="252">
        <f t="shared" si="179"/>
        <v>382.42804000000007</v>
      </c>
      <c r="AW77" s="252">
        <f t="shared" si="179"/>
        <v>273.8305</v>
      </c>
      <c r="AX77" s="267">
        <f t="shared" si="179"/>
        <v>175.06459999999993</v>
      </c>
      <c r="AY77" s="259">
        <f t="shared" si="180"/>
        <v>275.9971</v>
      </c>
      <c r="AZ77" s="252">
        <f t="shared" si="180"/>
        <v>378.8068</v>
      </c>
      <c r="BA77" s="252">
        <f t="shared" si="180"/>
        <v>406.5727</v>
      </c>
      <c r="BB77" s="252">
        <f t="shared" si="181"/>
        <v>292.96019999999993</v>
      </c>
      <c r="BC77" s="259">
        <f t="shared" si="181"/>
        <v>335.8319</v>
      </c>
      <c r="BD77" s="252">
        <f t="shared" si="181"/>
        <v>121.60610000000001</v>
      </c>
      <c r="BE77" s="252">
        <f t="shared" si="182"/>
        <v>340.5684</v>
      </c>
      <c r="BF77" s="252">
        <f t="shared" si="182"/>
        <v>466.11390000000006</v>
      </c>
      <c r="BG77" s="259">
        <f t="shared" si="182"/>
        <v>369.94870000000003</v>
      </c>
      <c r="BH77" s="252">
        <f t="shared" si="182"/>
        <v>380.71709999999996</v>
      </c>
      <c r="BI77" s="252">
        <f t="shared" si="183"/>
        <v>137.90419999999995</v>
      </c>
      <c r="BJ77" s="252">
        <f t="shared" si="183"/>
        <v>218.6523000000002</v>
      </c>
      <c r="BK77" s="619"/>
      <c r="BL77" s="121">
        <f aca="true" t="shared" si="193" ref="BL77:CN77">BL136</f>
        <v>80.332</v>
      </c>
      <c r="BM77" s="121">
        <f t="shared" si="193"/>
        <v>44.688</v>
      </c>
      <c r="BN77" s="121">
        <f t="shared" si="193"/>
        <v>79.06850000000001</v>
      </c>
      <c r="BO77" s="122">
        <f t="shared" si="193"/>
        <v>103.00849999999997</v>
      </c>
      <c r="BP77" s="123">
        <f t="shared" si="193"/>
        <v>131.5</v>
      </c>
      <c r="BQ77" s="124">
        <f t="shared" si="193"/>
        <v>98.32400000000001</v>
      </c>
      <c r="BR77" s="124">
        <f t="shared" si="193"/>
        <v>118.67599999999999</v>
      </c>
      <c r="BS77" s="125">
        <f t="shared" si="193"/>
        <v>169.39999999999998</v>
      </c>
      <c r="BT77" s="123">
        <f t="shared" si="193"/>
        <v>118</v>
      </c>
      <c r="BU77" s="124">
        <f t="shared" si="193"/>
        <v>135.712299</v>
      </c>
      <c r="BV77" s="124">
        <f t="shared" si="193"/>
        <v>135.087701</v>
      </c>
      <c r="BW77" s="125">
        <f t="shared" si="193"/>
        <v>161.79999999999995</v>
      </c>
      <c r="BX77" s="123">
        <f t="shared" si="193"/>
        <v>143.3</v>
      </c>
      <c r="BY77" s="124">
        <f t="shared" si="193"/>
        <v>161.96299999999997</v>
      </c>
      <c r="BZ77" s="124">
        <f t="shared" si="193"/>
        <v>185.33700000000005</v>
      </c>
      <c r="CA77" s="124">
        <f t="shared" si="193"/>
        <v>191.92949999999996</v>
      </c>
      <c r="CB77" s="123">
        <f t="shared" si="193"/>
        <v>191.20000000000002</v>
      </c>
      <c r="CC77" s="124">
        <f t="shared" si="193"/>
        <v>192.19999999999996</v>
      </c>
      <c r="CD77" s="124">
        <f t="shared" si="193"/>
        <v>208.51400000000004</v>
      </c>
      <c r="CE77" s="124">
        <f t="shared" si="193"/>
        <v>212.486</v>
      </c>
      <c r="CF77" s="123">
        <f t="shared" si="193"/>
        <v>239.2878</v>
      </c>
      <c r="CG77" s="124">
        <f t="shared" si="193"/>
        <v>243.1352</v>
      </c>
      <c r="CH77" s="124">
        <f t="shared" si="193"/>
        <v>238.27700000000004</v>
      </c>
      <c r="CI77" s="124">
        <f t="shared" si="193"/>
        <v>222.69999999999993</v>
      </c>
      <c r="CJ77" s="123">
        <f t="shared" si="193"/>
        <v>234.392</v>
      </c>
      <c r="CK77" s="124">
        <f t="shared" si="193"/>
        <v>169.58559999999983</v>
      </c>
      <c r="CL77" s="124">
        <f t="shared" si="193"/>
        <v>221.6300000000001</v>
      </c>
      <c r="CM77" s="407">
        <f t="shared" si="193"/>
        <v>234.1107999999998</v>
      </c>
      <c r="CN77" s="123">
        <f t="shared" si="193"/>
        <v>232.7984</v>
      </c>
      <c r="CO77" s="124">
        <f aca="true" t="shared" si="194" ref="CO77:CT77">CO136</f>
        <v>296.74159999999995</v>
      </c>
      <c r="CP77" s="124">
        <f t="shared" si="194"/>
        <v>310.80169</v>
      </c>
      <c r="CQ77" s="124">
        <f t="shared" si="194"/>
        <v>288.04320000000007</v>
      </c>
      <c r="CR77" s="473">
        <f t="shared" si="194"/>
        <v>295.2181</v>
      </c>
      <c r="CS77" s="124">
        <f t="shared" si="194"/>
        <v>203.01569999999998</v>
      </c>
      <c r="CT77" s="124">
        <f t="shared" si="194"/>
        <v>214.43960000000004</v>
      </c>
      <c r="CU77" s="124">
        <f aca="true" t="shared" si="195" ref="CU77:CZ77">CU136</f>
        <v>233.33790000000005</v>
      </c>
      <c r="CV77" s="123">
        <f t="shared" si="195"/>
        <v>310.19120000000004</v>
      </c>
      <c r="CW77" s="124">
        <f t="shared" si="195"/>
        <v>358.00921</v>
      </c>
      <c r="CX77" s="124">
        <f t="shared" si="195"/>
        <v>331.21450999999996</v>
      </c>
      <c r="CY77" s="124">
        <f t="shared" si="195"/>
        <v>409.9356000000001</v>
      </c>
      <c r="CZ77" s="123">
        <f t="shared" si="195"/>
        <v>419.41929</v>
      </c>
      <c r="DA77" s="124">
        <f aca="true" t="shared" si="196" ref="DA77:DF77">DA136</f>
        <v>443.99093</v>
      </c>
      <c r="DB77" s="124">
        <f t="shared" si="196"/>
        <v>455.6977500000001</v>
      </c>
      <c r="DC77" s="124">
        <f t="shared" si="196"/>
        <v>413.65429999999986</v>
      </c>
      <c r="DD77" s="123">
        <f t="shared" si="196"/>
        <v>272.41342</v>
      </c>
      <c r="DE77" s="124">
        <f t="shared" si="196"/>
        <v>385.14555000000007</v>
      </c>
      <c r="DF77" s="124">
        <f t="shared" si="196"/>
        <v>266.34015</v>
      </c>
      <c r="DG77" s="124">
        <f aca="true" t="shared" si="197" ref="DG77:DL77">DG136</f>
        <v>179.97334999999998</v>
      </c>
      <c r="DH77" s="123">
        <f t="shared" si="197"/>
        <v>279.85887</v>
      </c>
      <c r="DI77" s="124">
        <f t="shared" si="197"/>
        <v>367.14644999999996</v>
      </c>
      <c r="DJ77" s="124">
        <f t="shared" si="197"/>
        <v>406.288</v>
      </c>
      <c r="DK77" s="124">
        <f t="shared" si="197"/>
        <v>284.5810899999999</v>
      </c>
      <c r="DL77" s="123">
        <f t="shared" si="197"/>
        <v>361.669967</v>
      </c>
      <c r="DM77" s="124">
        <f aca="true" t="shared" si="198" ref="DM77:DP78">DM136</f>
        <v>70.95394999999999</v>
      </c>
      <c r="DN77" s="124">
        <f t="shared" si="198"/>
        <v>325.320286</v>
      </c>
      <c r="DO77" s="124">
        <f t="shared" si="198"/>
        <v>502.22017700000015</v>
      </c>
      <c r="DP77" s="123">
        <f t="shared" si="198"/>
        <v>389.7365</v>
      </c>
      <c r="DQ77" s="124">
        <f aca="true" t="shared" si="199" ref="DQ77:DS78">DQ136</f>
        <v>324.66211300000003</v>
      </c>
      <c r="DR77" s="124">
        <f t="shared" si="199"/>
        <v>190.20143</v>
      </c>
      <c r="DS77" s="124">
        <f t="shared" si="199"/>
        <v>186.50709399999997</v>
      </c>
      <c r="DT77" s="91"/>
      <c r="DU77" s="109">
        <v>144.5</v>
      </c>
      <c r="DV77" s="109">
        <v>187.5</v>
      </c>
      <c r="DW77" s="109">
        <v>261.29999999999995</v>
      </c>
      <c r="DX77" s="340">
        <v>172.80000000000007</v>
      </c>
      <c r="DY77" s="341">
        <v>222.64519</v>
      </c>
      <c r="DZ77" s="109">
        <f>FQ77-DY77</f>
        <v>260.020066</v>
      </c>
      <c r="EA77" s="109">
        <f>FR77-FQ77</f>
        <v>271.996751</v>
      </c>
      <c r="EB77" s="340">
        <f>FS77-FR77</f>
        <v>212.63799299999994</v>
      </c>
      <c r="EC77" s="341">
        <v>185.752225</v>
      </c>
      <c r="ED77" s="109">
        <f>FT77-EC77</f>
        <v>207.17881599999998</v>
      </c>
      <c r="EE77" s="109">
        <f>FU77-EC77-ED77</f>
        <v>224.46039999999988</v>
      </c>
      <c r="EF77" s="109">
        <f>FV77-EE77-ED77-EC77</f>
        <v>248.3506700000001</v>
      </c>
      <c r="EG77" s="341">
        <v>182.1600188</v>
      </c>
      <c r="EH77" s="109">
        <f>FW77-EG77</f>
        <v>287.58534829999996</v>
      </c>
      <c r="EI77" s="109">
        <f>FX77-EH77-EG77</f>
        <v>292.9905635000001</v>
      </c>
      <c r="EJ77" s="109">
        <f>FY77-EI77-EH77-EG77</f>
        <v>172.0821289999999</v>
      </c>
      <c r="EK77" s="420">
        <v>303.97920000000005</v>
      </c>
      <c r="EL77" s="109">
        <f>FZ77-EK77</f>
        <v>263.2310999999999</v>
      </c>
      <c r="EM77" s="109">
        <f>GA77-EL77-EK77</f>
        <v>269.7008</v>
      </c>
      <c r="EN77" s="109">
        <f>GB77-EM77-EL77-EK77</f>
        <v>199.23473000000035</v>
      </c>
      <c r="EO77" s="341">
        <v>259</v>
      </c>
      <c r="EP77" s="109">
        <f>GC77-EO77</f>
        <v>328.49053689999994</v>
      </c>
      <c r="EQ77" s="109">
        <f>GD77-GC77</f>
        <v>309.47401000000013</v>
      </c>
      <c r="ER77" s="109">
        <f>GE77-GD77</f>
        <v>324.23963999999967</v>
      </c>
      <c r="ES77" s="420">
        <v>346.19523</v>
      </c>
      <c r="ET77" s="109">
        <f>GF77-ES77</f>
        <v>537.381042</v>
      </c>
      <c r="EU77" s="109">
        <f>GG77-ET77-ES77</f>
        <v>450.29560099999964</v>
      </c>
      <c r="EV77" s="109">
        <f>GH77-GG77</f>
        <v>414.6849360000001</v>
      </c>
      <c r="EW77" s="341">
        <v>301.027939</v>
      </c>
      <c r="EX77" s="109">
        <f>GI77-EW77</f>
        <v>403.59629699999977</v>
      </c>
      <c r="EY77" s="109">
        <f>GJ77-EX77-EW77</f>
        <v>250.05432700000034</v>
      </c>
      <c r="EZ77" s="109">
        <f>GK77-GJ77</f>
        <v>200.10188700000026</v>
      </c>
      <c r="FA77" s="341">
        <v>299.41155799999996</v>
      </c>
      <c r="FB77" s="109">
        <f>GL77-FA77</f>
        <v>413.870613</v>
      </c>
      <c r="FC77" s="109">
        <f>GM77-GL77</f>
        <v>389.3441019999999</v>
      </c>
      <c r="FD77" s="109">
        <f>GN77-GM77</f>
        <v>329.5689569999997</v>
      </c>
      <c r="FE77" s="341">
        <v>397.6930259999999</v>
      </c>
      <c r="FF77" s="109">
        <f>GO77-FE77</f>
        <v>142.08100000000013</v>
      </c>
      <c r="FG77" s="109">
        <f>GP77-GO77</f>
        <v>364.462706</v>
      </c>
      <c r="FH77" s="109">
        <f>GQ77-GP77</f>
        <v>511.59474699999987</v>
      </c>
      <c r="FI77" s="341">
        <v>407.12618000000003</v>
      </c>
      <c r="FJ77" s="109">
        <f>GR77-FI77</f>
        <v>332.35607179999994</v>
      </c>
      <c r="FK77" s="109">
        <f>GS77-GR77</f>
        <v>161.44550700000002</v>
      </c>
      <c r="FL77" s="109">
        <f>GT77-GS77</f>
        <v>207.55478000000016</v>
      </c>
      <c r="FM77" s="63"/>
      <c r="FN77" s="110">
        <f aca="true" t="shared" si="200" ref="FN77:FW77">FN26</f>
        <v>332</v>
      </c>
      <c r="FO77" s="110">
        <f t="shared" si="200"/>
        <v>593.3</v>
      </c>
      <c r="FP77" s="110">
        <f t="shared" si="200"/>
        <v>766.1</v>
      </c>
      <c r="FQ77" s="110">
        <f t="shared" si="200"/>
        <v>482.665256</v>
      </c>
      <c r="FR77" s="110">
        <f t="shared" si="200"/>
        <v>754.662007</v>
      </c>
      <c r="FS77" s="110">
        <f t="shared" si="200"/>
        <v>967.3</v>
      </c>
      <c r="FT77" s="110">
        <f t="shared" si="200"/>
        <v>392.931041</v>
      </c>
      <c r="FU77" s="110">
        <f t="shared" si="200"/>
        <v>617.3914409999999</v>
      </c>
      <c r="FV77" s="110">
        <f t="shared" si="200"/>
        <v>865.742111</v>
      </c>
      <c r="FW77" s="110">
        <f t="shared" si="200"/>
        <v>469.74536709999995</v>
      </c>
      <c r="FX77" s="110">
        <v>762.7359306000001</v>
      </c>
      <c r="FY77" s="110">
        <v>934.8180596</v>
      </c>
      <c r="FZ77" s="110">
        <v>567.2103</v>
      </c>
      <c r="GA77" s="110">
        <v>836.9111</v>
      </c>
      <c r="GB77" s="110">
        <v>1036.1458300000004</v>
      </c>
      <c r="GC77" s="110">
        <v>587.4905368999999</v>
      </c>
      <c r="GD77" s="110">
        <v>896.9645469000001</v>
      </c>
      <c r="GE77" s="110">
        <v>1221.2041868999997</v>
      </c>
      <c r="GF77" s="110">
        <v>883.576272</v>
      </c>
      <c r="GG77" s="110">
        <v>1333.8718729999996</v>
      </c>
      <c r="GH77" s="110">
        <v>1748.5568089999997</v>
      </c>
      <c r="GI77" s="110">
        <v>704.6242359999998</v>
      </c>
      <c r="GJ77" s="110">
        <v>954.6785630000002</v>
      </c>
      <c r="GK77" s="110">
        <v>1154.7804500000004</v>
      </c>
      <c r="GL77" s="110">
        <v>713.282171</v>
      </c>
      <c r="GM77" s="110">
        <v>1102.6262729999999</v>
      </c>
      <c r="GN77" s="110">
        <v>1432.1952299999996</v>
      </c>
      <c r="GO77" s="110">
        <v>539.774026</v>
      </c>
      <c r="GP77" s="110">
        <v>904.2367320000001</v>
      </c>
      <c r="GQ77" s="110">
        <v>1415.831479</v>
      </c>
      <c r="GR77" s="110">
        <v>739.4822518</v>
      </c>
      <c r="GS77" s="110">
        <v>900.9277588</v>
      </c>
      <c r="GT77" s="110">
        <v>1108.4825388000002</v>
      </c>
    </row>
    <row r="78" spans="1:202" ht="15.75">
      <c r="A78" s="116" t="s">
        <v>283</v>
      </c>
      <c r="B78" s="116" t="s">
        <v>284</v>
      </c>
      <c r="C78" s="252"/>
      <c r="D78" s="252"/>
      <c r="E78" s="252"/>
      <c r="F78" s="260"/>
      <c r="G78" s="259"/>
      <c r="H78" s="252"/>
      <c r="I78" s="252"/>
      <c r="J78" s="260"/>
      <c r="K78" s="259"/>
      <c r="L78" s="252"/>
      <c r="M78" s="252"/>
      <c r="N78" s="260"/>
      <c r="O78" s="259"/>
      <c r="P78" s="252"/>
      <c r="Q78" s="252"/>
      <c r="R78" s="252"/>
      <c r="S78" s="259"/>
      <c r="T78" s="252"/>
      <c r="U78" s="252"/>
      <c r="V78" s="252"/>
      <c r="W78" s="259"/>
      <c r="X78" s="252"/>
      <c r="Y78" s="252"/>
      <c r="Z78" s="252"/>
      <c r="AA78" s="259"/>
      <c r="AB78" s="252"/>
      <c r="AC78" s="252"/>
      <c r="AD78" s="252"/>
      <c r="AE78" s="259"/>
      <c r="AF78" s="252"/>
      <c r="AG78" s="252"/>
      <c r="AH78" s="267"/>
      <c r="AI78" s="275"/>
      <c r="AJ78" s="252"/>
      <c r="AK78" s="252"/>
      <c r="AL78" s="252"/>
      <c r="AM78" s="275"/>
      <c r="AN78" s="252"/>
      <c r="AO78" s="252"/>
      <c r="AP78" s="252"/>
      <c r="AQ78" s="259"/>
      <c r="AR78" s="252"/>
      <c r="AS78" s="252"/>
      <c r="AT78" s="252"/>
      <c r="AU78" s="275"/>
      <c r="AV78" s="252"/>
      <c r="AW78" s="252"/>
      <c r="AX78" s="267"/>
      <c r="AY78" s="259"/>
      <c r="AZ78" s="252"/>
      <c r="BA78" s="252"/>
      <c r="BB78" s="252"/>
      <c r="BC78" s="259"/>
      <c r="BD78" s="252">
        <f t="shared" si="181"/>
        <v>0.95</v>
      </c>
      <c r="BE78" s="252">
        <f t="shared" si="182"/>
        <v>0.9359999999999999</v>
      </c>
      <c r="BF78" s="252">
        <f t="shared" si="182"/>
        <v>6.891999999999999</v>
      </c>
      <c r="BG78" s="259">
        <f t="shared" si="182"/>
        <v>19.505</v>
      </c>
      <c r="BH78" s="252">
        <f t="shared" si="182"/>
        <v>25.557</v>
      </c>
      <c r="BI78" s="252">
        <f t="shared" si="183"/>
        <v>27.219000000000005</v>
      </c>
      <c r="BJ78" s="252">
        <f t="shared" si="183"/>
        <v>26.355999999999998</v>
      </c>
      <c r="BK78" s="619"/>
      <c r="BL78" s="121"/>
      <c r="BM78" s="121"/>
      <c r="BN78" s="121"/>
      <c r="BO78" s="122"/>
      <c r="BP78" s="123"/>
      <c r="BQ78" s="124"/>
      <c r="BR78" s="124"/>
      <c r="BS78" s="125"/>
      <c r="BT78" s="123"/>
      <c r="BU78" s="124"/>
      <c r="BV78" s="124"/>
      <c r="BW78" s="125"/>
      <c r="BX78" s="123"/>
      <c r="BY78" s="124"/>
      <c r="BZ78" s="124"/>
      <c r="CA78" s="124"/>
      <c r="CB78" s="123"/>
      <c r="CC78" s="124"/>
      <c r="CD78" s="124"/>
      <c r="CE78" s="124"/>
      <c r="CF78" s="123"/>
      <c r="CG78" s="124"/>
      <c r="CH78" s="124"/>
      <c r="CI78" s="124"/>
      <c r="CJ78" s="123"/>
      <c r="CK78" s="124"/>
      <c r="CL78" s="124"/>
      <c r="CM78" s="407"/>
      <c r="CN78" s="123"/>
      <c r="CO78" s="124"/>
      <c r="CP78" s="124"/>
      <c r="CQ78" s="124"/>
      <c r="CR78" s="473"/>
      <c r="CS78" s="124"/>
      <c r="CT78" s="124"/>
      <c r="CU78" s="124"/>
      <c r="CV78" s="123"/>
      <c r="CW78" s="124"/>
      <c r="CX78" s="124"/>
      <c r="CY78" s="124"/>
      <c r="CZ78" s="123"/>
      <c r="DA78" s="124"/>
      <c r="DB78" s="124"/>
      <c r="DC78" s="124"/>
      <c r="DD78" s="123"/>
      <c r="DE78" s="124"/>
      <c r="DF78" s="124"/>
      <c r="DG78" s="124"/>
      <c r="DH78" s="123"/>
      <c r="DI78" s="124"/>
      <c r="DJ78" s="124"/>
      <c r="DK78" s="124"/>
      <c r="DL78" s="123"/>
      <c r="DM78" s="124">
        <f t="shared" si="198"/>
        <v>0.04</v>
      </c>
      <c r="DN78" s="124">
        <f t="shared" si="198"/>
        <v>0.02</v>
      </c>
      <c r="DO78" s="124">
        <f t="shared" si="198"/>
        <v>5.159</v>
      </c>
      <c r="DP78" s="123">
        <f t="shared" si="198"/>
        <v>14.818000000000001</v>
      </c>
      <c r="DQ78" s="124">
        <f t="shared" si="199"/>
        <v>18.26091</v>
      </c>
      <c r="DR78" s="124">
        <f t="shared" si="199"/>
        <v>32.779075</v>
      </c>
      <c r="DS78" s="124">
        <f t="shared" si="199"/>
        <v>19.892950000000006</v>
      </c>
      <c r="DT78" s="91"/>
      <c r="DU78" s="109"/>
      <c r="DV78" s="109"/>
      <c r="DW78" s="109"/>
      <c r="DX78" s="340"/>
      <c r="DY78" s="341"/>
      <c r="DZ78" s="109"/>
      <c r="EA78" s="109"/>
      <c r="EB78" s="340"/>
      <c r="EC78" s="341"/>
      <c r="ED78" s="109"/>
      <c r="EE78" s="109"/>
      <c r="EF78" s="109"/>
      <c r="EG78" s="341"/>
      <c r="EH78" s="109"/>
      <c r="EI78" s="109"/>
      <c r="EJ78" s="109"/>
      <c r="EK78" s="420"/>
      <c r="EL78" s="109"/>
      <c r="EM78" s="109"/>
      <c r="EN78" s="109"/>
      <c r="EO78" s="341"/>
      <c r="EP78" s="109"/>
      <c r="EQ78" s="109"/>
      <c r="ER78" s="109"/>
      <c r="ES78" s="420"/>
      <c r="ET78" s="109"/>
      <c r="EU78" s="109"/>
      <c r="EV78" s="109"/>
      <c r="EW78" s="341"/>
      <c r="EX78" s="109"/>
      <c r="EY78" s="109"/>
      <c r="EZ78" s="109"/>
      <c r="FA78" s="341"/>
      <c r="FB78" s="109"/>
      <c r="FC78" s="109"/>
      <c r="FD78" s="109"/>
      <c r="FE78" s="341"/>
      <c r="FF78" s="616">
        <f>GO78-FE78</f>
        <v>0.07594999999999999</v>
      </c>
      <c r="FG78" s="616">
        <f>GP78-GO78</f>
        <v>-0.015949999999999992</v>
      </c>
      <c r="FH78" s="109">
        <f>GQ78-GP78</f>
        <v>5.159</v>
      </c>
      <c r="FI78" s="341">
        <v>14.818</v>
      </c>
      <c r="FJ78" s="109">
        <f>GR78-FI78</f>
        <v>18.260910000000003</v>
      </c>
      <c r="FK78" s="109">
        <f>GS78-GR78</f>
        <v>32.81107500000001</v>
      </c>
      <c r="FL78" s="109">
        <f>GT78-GS78</f>
        <v>19.00085</v>
      </c>
      <c r="FM78" s="63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>
        <v>0.07594999999999999</v>
      </c>
      <c r="GP78" s="110">
        <v>0.06</v>
      </c>
      <c r="GQ78" s="110">
        <v>5.218999999999999</v>
      </c>
      <c r="GR78" s="110">
        <v>33.07891</v>
      </c>
      <c r="GS78" s="110">
        <v>65.88998500000001</v>
      </c>
      <c r="GT78" s="110">
        <v>84.89083500000001</v>
      </c>
    </row>
    <row r="79" spans="1:202" ht="15.75">
      <c r="A79" s="70" t="s">
        <v>204</v>
      </c>
      <c r="B79" s="70" t="s">
        <v>203</v>
      </c>
      <c r="C79" s="254">
        <f>C81+C83+C84</f>
        <v>355.8364</v>
      </c>
      <c r="D79" s="254">
        <f aca="true" t="shared" si="201" ref="D79:AF79">D81+D83+D84</f>
        <v>408.49660000000006</v>
      </c>
      <c r="E79" s="254">
        <f t="shared" si="201"/>
        <v>416.53488000000004</v>
      </c>
      <c r="F79" s="255">
        <f t="shared" si="201"/>
        <v>499.16009999999994</v>
      </c>
      <c r="G79" s="253">
        <f t="shared" si="201"/>
        <v>439.8</v>
      </c>
      <c r="H79" s="254">
        <f t="shared" si="201"/>
        <v>452.519</v>
      </c>
      <c r="I79" s="254">
        <f t="shared" si="201"/>
        <v>379.48099999999994</v>
      </c>
      <c r="J79" s="255">
        <f t="shared" si="201"/>
        <v>483.99999999999994</v>
      </c>
      <c r="K79" s="253">
        <f t="shared" si="201"/>
        <v>494.5</v>
      </c>
      <c r="L79" s="254">
        <f t="shared" si="201"/>
        <v>423.74168</v>
      </c>
      <c r="M79" s="254">
        <f t="shared" si="201"/>
        <v>440.96551</v>
      </c>
      <c r="N79" s="255">
        <f t="shared" si="201"/>
        <v>492.39281000000005</v>
      </c>
      <c r="O79" s="253">
        <f t="shared" si="201"/>
        <v>517.379</v>
      </c>
      <c r="P79" s="254">
        <f t="shared" si="201"/>
        <v>358.8399999999999</v>
      </c>
      <c r="Q79" s="254">
        <f t="shared" si="201"/>
        <v>379.61300000000006</v>
      </c>
      <c r="R79" s="254">
        <f t="shared" si="201"/>
        <v>475.9679999999999</v>
      </c>
      <c r="S79" s="253">
        <f t="shared" si="201"/>
        <v>475</v>
      </c>
      <c r="T79" s="254">
        <f t="shared" si="201"/>
        <v>454.8</v>
      </c>
      <c r="U79" s="254">
        <f t="shared" si="201"/>
        <v>457.37499999999994</v>
      </c>
      <c r="V79" s="254">
        <f t="shared" si="201"/>
        <v>494.2702750000001</v>
      </c>
      <c r="W79" s="253">
        <f t="shared" si="201"/>
        <v>503.0462</v>
      </c>
      <c r="X79" s="254">
        <f t="shared" si="201"/>
        <v>446.39240000000007</v>
      </c>
      <c r="Y79" s="254">
        <f t="shared" si="201"/>
        <v>405.96139999999997</v>
      </c>
      <c r="Z79" s="254">
        <f t="shared" si="201"/>
        <v>459.69999999999993</v>
      </c>
      <c r="AA79" s="253">
        <f t="shared" si="201"/>
        <v>475.428</v>
      </c>
      <c r="AB79" s="254">
        <f t="shared" si="201"/>
        <v>443.1337000000001</v>
      </c>
      <c r="AC79" s="254">
        <f t="shared" si="201"/>
        <v>473.4852999999999</v>
      </c>
      <c r="AD79" s="254">
        <f t="shared" si="201"/>
        <v>512.6920000000001</v>
      </c>
      <c r="AE79" s="253">
        <f t="shared" si="201"/>
        <v>504.67278</v>
      </c>
      <c r="AF79" s="254">
        <f t="shared" si="201"/>
        <v>461.0559000000001</v>
      </c>
      <c r="AG79" s="254">
        <f aca="true" t="shared" si="202" ref="AG79:AL79">AG81+AG83+AG84</f>
        <v>472.07409999999993</v>
      </c>
      <c r="AH79" s="269">
        <f t="shared" si="202"/>
        <v>515.478</v>
      </c>
      <c r="AI79" s="464">
        <f t="shared" si="202"/>
        <v>674.0273559999999</v>
      </c>
      <c r="AJ79" s="254">
        <f t="shared" si="202"/>
        <v>719.572644</v>
      </c>
      <c r="AK79" s="254">
        <f t="shared" si="202"/>
        <v>701.2350560000001</v>
      </c>
      <c r="AL79" s="254">
        <f t="shared" si="202"/>
        <v>799.4529040000002</v>
      </c>
      <c r="AM79" s="464">
        <f aca="true" t="shared" si="203" ref="AM79:AR79">AM81+AM83+AM84</f>
        <v>699.1337</v>
      </c>
      <c r="AN79" s="254">
        <f t="shared" si="203"/>
        <v>577.9546</v>
      </c>
      <c r="AO79" s="254">
        <f t="shared" si="203"/>
        <v>602.7839</v>
      </c>
      <c r="AP79" s="254">
        <f t="shared" si="203"/>
        <v>639.1664400000001</v>
      </c>
      <c r="AQ79" s="253">
        <f t="shared" si="203"/>
        <v>610.3828</v>
      </c>
      <c r="AR79" s="254">
        <f t="shared" si="203"/>
        <v>445.78201000000007</v>
      </c>
      <c r="AS79" s="254">
        <f aca="true" t="shared" si="204" ref="AS79:AX79">AS81+AS83+AS84</f>
        <v>528.2959</v>
      </c>
      <c r="AT79" s="254">
        <f t="shared" si="204"/>
        <v>441.14313000000004</v>
      </c>
      <c r="AU79" s="464">
        <f t="shared" si="204"/>
        <v>618.14611</v>
      </c>
      <c r="AV79" s="254">
        <f t="shared" si="204"/>
        <v>522.3134499999999</v>
      </c>
      <c r="AW79" s="254">
        <f t="shared" si="204"/>
        <v>606.0618500000002</v>
      </c>
      <c r="AX79" s="269">
        <f t="shared" si="204"/>
        <v>625.2363099999999</v>
      </c>
      <c r="AY79" s="253">
        <f aca="true" t="shared" si="205" ref="AY79:BD79">AY81+AY83+AY84</f>
        <v>611.05749</v>
      </c>
      <c r="AZ79" s="254">
        <f t="shared" si="205"/>
        <v>685.07013</v>
      </c>
      <c r="BA79" s="254">
        <f t="shared" si="205"/>
        <v>649.0280200000001</v>
      </c>
      <c r="BB79" s="254">
        <f t="shared" si="205"/>
        <v>679.8205599999997</v>
      </c>
      <c r="BC79" s="253">
        <f t="shared" si="205"/>
        <v>615.38187</v>
      </c>
      <c r="BD79" s="254">
        <f t="shared" si="205"/>
        <v>586.1133600000001</v>
      </c>
      <c r="BE79" s="254">
        <f aca="true" t="shared" si="206" ref="BE79:BJ79">BE81+BE83+BE84</f>
        <v>606.325234</v>
      </c>
      <c r="BF79" s="254">
        <f t="shared" si="206"/>
        <v>553.7843000000001</v>
      </c>
      <c r="BG79" s="253">
        <f t="shared" si="206"/>
        <v>608.5004000000001</v>
      </c>
      <c r="BH79" s="254">
        <f t="shared" si="206"/>
        <v>603.4278</v>
      </c>
      <c r="BI79" s="254">
        <f t="shared" si="206"/>
        <v>623.89505</v>
      </c>
      <c r="BJ79" s="254">
        <f t="shared" si="206"/>
        <v>612.078</v>
      </c>
      <c r="BK79" s="619"/>
      <c r="BL79" s="86">
        <f aca="true" t="shared" si="207" ref="BL79:CN79">BL81+BL84</f>
        <v>383.388005</v>
      </c>
      <c r="BM79" s="86">
        <f t="shared" si="207"/>
        <v>411.79695599999997</v>
      </c>
      <c r="BN79" s="86">
        <f t="shared" si="207"/>
        <v>410.6976920000001</v>
      </c>
      <c r="BO79" s="87">
        <f t="shared" si="207"/>
        <v>484.50207599999993</v>
      </c>
      <c r="BP79" s="88">
        <f t="shared" si="207"/>
        <v>440.99999999999994</v>
      </c>
      <c r="BQ79" s="89">
        <f t="shared" si="207"/>
        <v>432.1276160000001</v>
      </c>
      <c r="BR79" s="89">
        <f t="shared" si="207"/>
        <v>377.372384</v>
      </c>
      <c r="BS79" s="90">
        <f t="shared" si="207"/>
        <v>449.2000000000001</v>
      </c>
      <c r="BT79" s="88">
        <f t="shared" si="207"/>
        <v>503.59999999999997</v>
      </c>
      <c r="BU79" s="89">
        <f t="shared" si="207"/>
        <v>429.80713999999995</v>
      </c>
      <c r="BV79" s="89">
        <f t="shared" si="207"/>
        <v>418.79286000000013</v>
      </c>
      <c r="BW79" s="90">
        <f t="shared" si="207"/>
        <v>496.70040399999993</v>
      </c>
      <c r="BX79" s="88">
        <f t="shared" si="207"/>
        <v>502</v>
      </c>
      <c r="BY79" s="89">
        <f t="shared" si="207"/>
        <v>366.10791</v>
      </c>
      <c r="BZ79" s="89">
        <f t="shared" si="207"/>
        <v>364.79209000000003</v>
      </c>
      <c r="CA79" s="89">
        <f t="shared" si="207"/>
        <v>437.78786599999995</v>
      </c>
      <c r="CB79" s="88">
        <f t="shared" si="207"/>
        <v>475.99999999999994</v>
      </c>
      <c r="CC79" s="89">
        <f t="shared" si="207"/>
        <v>420.0874230000001</v>
      </c>
      <c r="CD79" s="89">
        <f t="shared" si="207"/>
        <v>476.14363000000003</v>
      </c>
      <c r="CE79" s="89">
        <f t="shared" si="207"/>
        <v>488.7760109999999</v>
      </c>
      <c r="CF79" s="88">
        <f t="shared" si="207"/>
        <v>492.217078</v>
      </c>
      <c r="CG79" s="89">
        <f t="shared" si="207"/>
        <v>431.048127</v>
      </c>
      <c r="CH79" s="89">
        <f t="shared" si="207"/>
        <v>416.13479500000005</v>
      </c>
      <c r="CI79" s="89">
        <f t="shared" si="207"/>
        <v>446.8999999999999</v>
      </c>
      <c r="CJ79" s="88">
        <f t="shared" si="207"/>
        <v>453.019894</v>
      </c>
      <c r="CK79" s="89">
        <f t="shared" si="207"/>
        <v>441.94778399999996</v>
      </c>
      <c r="CL79" s="89">
        <f t="shared" si="207"/>
        <v>472.88984000000005</v>
      </c>
      <c r="CM79" s="404">
        <f t="shared" si="207"/>
        <v>496.92579199999875</v>
      </c>
      <c r="CN79" s="88">
        <f t="shared" si="207"/>
        <v>507.75669999999997</v>
      </c>
      <c r="CO79" s="89">
        <f aca="true" t="shared" si="208" ref="CO79:CT79">CO81+CO84</f>
        <v>450.11013900000006</v>
      </c>
      <c r="CP79" s="89">
        <f t="shared" si="208"/>
        <v>484.368951</v>
      </c>
      <c r="CQ79" s="89">
        <f t="shared" si="208"/>
        <v>492.236512</v>
      </c>
      <c r="CR79" s="470">
        <f t="shared" si="208"/>
        <v>649.642506</v>
      </c>
      <c r="CS79" s="89">
        <f t="shared" si="208"/>
        <v>676.23062</v>
      </c>
      <c r="CT79" s="89">
        <f t="shared" si="208"/>
        <v>721.82736</v>
      </c>
      <c r="CU79" s="89">
        <f aca="true" t="shared" si="209" ref="CU79:CZ79">CU81+CU84</f>
        <v>754.6622139999998</v>
      </c>
      <c r="CV79" s="88">
        <f t="shared" si="209"/>
        <v>694.05943</v>
      </c>
      <c r="CW79" s="89">
        <f t="shared" si="209"/>
        <v>540.375776</v>
      </c>
      <c r="CX79" s="89">
        <f t="shared" si="209"/>
        <v>595.9587799999999</v>
      </c>
      <c r="CY79" s="89">
        <f t="shared" si="209"/>
        <v>638.4185199999998</v>
      </c>
      <c r="CZ79" s="88">
        <f t="shared" si="209"/>
        <v>580.1674</v>
      </c>
      <c r="DA79" s="89">
        <f aca="true" t="shared" si="210" ref="DA79:DF79">DA81+DA84</f>
        <v>455.22903999999994</v>
      </c>
      <c r="DB79" s="89">
        <f t="shared" si="210"/>
        <v>507.82303999999993</v>
      </c>
      <c r="DC79" s="89">
        <f t="shared" si="210"/>
        <v>454.64932999999974</v>
      </c>
      <c r="DD79" s="88">
        <f t="shared" si="210"/>
        <v>610.59085</v>
      </c>
      <c r="DE79" s="89">
        <f t="shared" si="210"/>
        <v>519.9801800000001</v>
      </c>
      <c r="DF79" s="89">
        <f t="shared" si="210"/>
        <v>611.4140060000001</v>
      </c>
      <c r="DG79" s="89">
        <f aca="true" t="shared" si="211" ref="DG79:DL79">DG81+DG84</f>
        <v>568.1052800000001</v>
      </c>
      <c r="DH79" s="88">
        <f t="shared" si="211"/>
        <v>606.68755</v>
      </c>
      <c r="DI79" s="89">
        <f t="shared" si="211"/>
        <v>675.6002099999998</v>
      </c>
      <c r="DJ79" s="89">
        <f t="shared" si="211"/>
        <v>508.49952460000003</v>
      </c>
      <c r="DK79" s="89">
        <f t="shared" si="211"/>
        <v>707.0099610000001</v>
      </c>
      <c r="DL79" s="88">
        <f t="shared" si="211"/>
        <v>671.5982280000001</v>
      </c>
      <c r="DM79" s="89">
        <f aca="true" t="shared" si="212" ref="DM79:DR79">DM81+DM84</f>
        <v>444.6946640000001</v>
      </c>
      <c r="DN79" s="89">
        <f t="shared" si="212"/>
        <v>602.387934</v>
      </c>
      <c r="DO79" s="89">
        <f t="shared" si="212"/>
        <v>525.0504980000001</v>
      </c>
      <c r="DP79" s="88">
        <f t="shared" si="212"/>
        <v>606.953612</v>
      </c>
      <c r="DQ79" s="89">
        <f t="shared" si="212"/>
        <v>585.790215</v>
      </c>
      <c r="DR79" s="89">
        <f t="shared" si="212"/>
        <v>651.6795050000001</v>
      </c>
      <c r="DS79" s="89">
        <f>DS81+DS84</f>
        <v>544.245378</v>
      </c>
      <c r="DT79" s="91"/>
      <c r="DU79" s="92">
        <f aca="true" t="shared" si="213" ref="DU79:EA79">DU81+DU84</f>
        <v>443.79999999999995</v>
      </c>
      <c r="DV79" s="92">
        <f t="shared" si="213"/>
        <v>501</v>
      </c>
      <c r="DW79" s="92">
        <f t="shared" si="213"/>
        <v>446.29999999999995</v>
      </c>
      <c r="DX79" s="338">
        <f t="shared" si="213"/>
        <v>511.1</v>
      </c>
      <c r="DY79" s="339">
        <f t="shared" si="213"/>
        <v>506.25629000000015</v>
      </c>
      <c r="DZ79" s="92">
        <f t="shared" si="213"/>
        <v>508.30326199999996</v>
      </c>
      <c r="EA79" s="92">
        <f t="shared" si="213"/>
        <v>347.69859000000093</v>
      </c>
      <c r="EB79" s="338">
        <f aca="true" t="shared" si="214" ref="EB79:EI79">EB81+EB84</f>
        <v>443.04750749999937</v>
      </c>
      <c r="EC79" s="339">
        <f t="shared" si="214"/>
        <v>448.021234</v>
      </c>
      <c r="ED79" s="92">
        <f t="shared" si="214"/>
        <v>438.8849200000001</v>
      </c>
      <c r="EE79" s="92">
        <f t="shared" si="214"/>
        <v>489.71780400000006</v>
      </c>
      <c r="EF79" s="92">
        <f t="shared" si="214"/>
        <v>404.4913319999997</v>
      </c>
      <c r="EG79" s="339">
        <f t="shared" si="214"/>
        <v>552.4254200000001</v>
      </c>
      <c r="EH79" s="92">
        <f t="shared" si="214"/>
        <v>459.73124399999983</v>
      </c>
      <c r="EI79" s="92">
        <f t="shared" si="214"/>
        <v>521.8445180000001</v>
      </c>
      <c r="EJ79" s="92">
        <f aca="true" t="shared" si="215" ref="EJ79:EO79">EJ81+EJ84</f>
        <v>525.5448799999996</v>
      </c>
      <c r="EK79" s="489">
        <f t="shared" si="215"/>
        <v>618.100882</v>
      </c>
      <c r="EL79" s="92">
        <f t="shared" si="215"/>
        <v>641.2876069999999</v>
      </c>
      <c r="EM79" s="92">
        <f t="shared" si="215"/>
        <v>730.1927799999999</v>
      </c>
      <c r="EN79" s="92">
        <f t="shared" si="215"/>
        <v>771.3779229999998</v>
      </c>
      <c r="EO79" s="339">
        <f t="shared" si="215"/>
        <v>676.0973800000002</v>
      </c>
      <c r="EP79" s="92">
        <f aca="true" t="shared" si="216" ref="EP79:EW79">EP81+EP84</f>
        <v>573.2833314999999</v>
      </c>
      <c r="EQ79" s="92">
        <f t="shared" si="216"/>
        <v>629.1251080000001</v>
      </c>
      <c r="ER79" s="92">
        <f t="shared" si="216"/>
        <v>594.4177600000007</v>
      </c>
      <c r="ES79" s="489">
        <f t="shared" si="216"/>
        <v>562.44409</v>
      </c>
      <c r="ET79" s="92">
        <f t="shared" si="216"/>
        <v>485.7593199999997</v>
      </c>
      <c r="EU79" s="92">
        <f t="shared" si="216"/>
        <v>533.5101000000009</v>
      </c>
      <c r="EV79" s="92">
        <f>EV81+EV84</f>
        <v>516.0258129999996</v>
      </c>
      <c r="EW79" s="339">
        <f t="shared" si="216"/>
        <v>570.014755</v>
      </c>
      <c r="EX79" s="92">
        <f aca="true" t="shared" si="217" ref="EX79:FC79">EX81+EX84</f>
        <v>537.9521589999997</v>
      </c>
      <c r="EY79" s="92">
        <f t="shared" si="217"/>
        <v>510.8042490000006</v>
      </c>
      <c r="EZ79" s="92">
        <f t="shared" si="217"/>
        <v>652.098382</v>
      </c>
      <c r="FA79" s="339">
        <f t="shared" si="217"/>
        <v>603.565176</v>
      </c>
      <c r="FB79" s="92">
        <f t="shared" si="217"/>
        <v>557.9197220000003</v>
      </c>
      <c r="FC79" s="92">
        <f t="shared" si="217"/>
        <v>572.7024223999999</v>
      </c>
      <c r="FD79" s="92">
        <f aca="true" t="shared" si="218" ref="FD79:FI79">FD81+FD84</f>
        <v>725.2902891999996</v>
      </c>
      <c r="FE79" s="339">
        <f t="shared" si="218"/>
        <v>741.9939679999999</v>
      </c>
      <c r="FF79" s="92">
        <f t="shared" si="218"/>
        <v>463.4876540000004</v>
      </c>
      <c r="FG79" s="92">
        <f t="shared" si="218"/>
        <v>613.5852709999997</v>
      </c>
      <c r="FH79" s="92">
        <f t="shared" si="218"/>
        <v>540.9736329999997</v>
      </c>
      <c r="FI79" s="339">
        <f t="shared" si="218"/>
        <v>599.9274839999998</v>
      </c>
      <c r="FJ79" s="92">
        <f>FJ81+FJ84</f>
        <v>526.6183250000001</v>
      </c>
      <c r="FK79" s="92">
        <f>FK81+FK84</f>
        <v>682.8803680000001</v>
      </c>
      <c r="FL79" s="92">
        <f>FL81+FL84</f>
        <v>559.1833010000006</v>
      </c>
      <c r="FM79" s="63"/>
      <c r="FN79" s="93">
        <f aca="true" t="shared" si="219" ref="FN79:FU79">FN81+FN84</f>
        <v>944.9</v>
      </c>
      <c r="FO79" s="93">
        <f t="shared" si="219"/>
        <v>1391.1000000000001</v>
      </c>
      <c r="FP79" s="93">
        <f t="shared" si="219"/>
        <v>1902.239526</v>
      </c>
      <c r="FQ79" s="93">
        <f t="shared" si="219"/>
        <v>1014.559552</v>
      </c>
      <c r="FR79" s="93">
        <f t="shared" si="219"/>
        <v>1362.258142000001</v>
      </c>
      <c r="FS79" s="93">
        <f t="shared" si="219"/>
        <v>1805.3056495000003</v>
      </c>
      <c r="FT79" s="93">
        <f t="shared" si="219"/>
        <v>886.906154</v>
      </c>
      <c r="FU79" s="93">
        <f t="shared" si="219"/>
        <v>1376.6239580000001</v>
      </c>
      <c r="FV79" s="93">
        <f aca="true" t="shared" si="220" ref="FV79:GB79">FV81+FV84</f>
        <v>1781.1152899999997</v>
      </c>
      <c r="FW79" s="93">
        <f t="shared" si="220"/>
        <v>1012.156664</v>
      </c>
      <c r="FX79" s="93">
        <f t="shared" si="220"/>
        <v>1534.0011820000002</v>
      </c>
      <c r="FY79" s="93">
        <f t="shared" si="220"/>
        <v>2059.5460619999994</v>
      </c>
      <c r="FZ79" s="93">
        <f t="shared" si="220"/>
        <v>1259.388489</v>
      </c>
      <c r="GA79" s="93">
        <f t="shared" si="220"/>
        <v>1989.5812689999996</v>
      </c>
      <c r="GB79" s="93">
        <f t="shared" si="220"/>
        <v>2760.9591919999993</v>
      </c>
      <c r="GC79" s="93">
        <f aca="true" t="shared" si="221" ref="GC79:GH79">GC81+GC84</f>
        <v>1249.3807115000002</v>
      </c>
      <c r="GD79" s="93">
        <f t="shared" si="221"/>
        <v>1878.5058195000001</v>
      </c>
      <c r="GE79" s="93">
        <f t="shared" si="221"/>
        <v>2472.923579500001</v>
      </c>
      <c r="GF79" s="93">
        <f t="shared" si="221"/>
        <v>1048.2034099999996</v>
      </c>
      <c r="GG79" s="93">
        <f t="shared" si="221"/>
        <v>1581.7135100000007</v>
      </c>
      <c r="GH79" s="93">
        <f t="shared" si="221"/>
        <v>2097.7393230000002</v>
      </c>
      <c r="GI79" s="93">
        <f aca="true" t="shared" si="222" ref="GI79:GN79">GI81+GI84</f>
        <v>1107.9669139999999</v>
      </c>
      <c r="GJ79" s="93">
        <f t="shared" si="222"/>
        <v>1618.7711630000003</v>
      </c>
      <c r="GK79" s="93">
        <f t="shared" si="222"/>
        <v>2270.8695450000005</v>
      </c>
      <c r="GL79" s="93">
        <f t="shared" si="222"/>
        <v>1161.4848980000002</v>
      </c>
      <c r="GM79" s="93">
        <f t="shared" si="222"/>
        <v>1734.1873204</v>
      </c>
      <c r="GN79" s="93">
        <f t="shared" si="222"/>
        <v>2459.4776095999996</v>
      </c>
      <c r="GO79" s="93">
        <f>GO81+GO84</f>
        <v>1205.4816220000002</v>
      </c>
      <c r="GP79" s="93">
        <f>GP81+GP84</f>
        <v>1819.066893</v>
      </c>
      <c r="GQ79" s="93">
        <f>GQ81+GQ84</f>
        <v>2360.0405259999998</v>
      </c>
      <c r="GR79" s="93">
        <f>GR81+GR84</f>
        <v>1126.545809</v>
      </c>
      <c r="GS79" s="93">
        <f>GS81+GS84</f>
        <v>1809.426177</v>
      </c>
      <c r="GT79" s="93">
        <f>GT81+GT84</f>
        <v>2368.6094780000008</v>
      </c>
    </row>
    <row r="80" spans="1:202" s="129" customFormat="1" ht="15.75">
      <c r="A80" s="100" t="s">
        <v>104</v>
      </c>
      <c r="B80" s="100" t="s">
        <v>93</v>
      </c>
      <c r="C80" s="257">
        <f>C82</f>
        <v>12.80566</v>
      </c>
      <c r="D80" s="257">
        <f aca="true" t="shared" si="223" ref="D80:AF80">D82</f>
        <v>1.6466399999999997</v>
      </c>
      <c r="E80" s="257">
        <f t="shared" si="223"/>
        <v>8.3367</v>
      </c>
      <c r="F80" s="258">
        <f t="shared" si="223"/>
        <v>12.1469</v>
      </c>
      <c r="G80" s="256">
        <f t="shared" si="223"/>
        <v>5.5</v>
      </c>
      <c r="H80" s="257">
        <f t="shared" si="223"/>
        <v>4.4</v>
      </c>
      <c r="I80" s="257">
        <f t="shared" si="223"/>
        <v>3.0999999999999996</v>
      </c>
      <c r="J80" s="258">
        <f t="shared" si="223"/>
        <v>20.6</v>
      </c>
      <c r="K80" s="256">
        <f t="shared" si="223"/>
        <v>14.4</v>
      </c>
      <c r="L80" s="257">
        <f t="shared" si="223"/>
        <v>0.819999999999999</v>
      </c>
      <c r="M80" s="257">
        <f t="shared" si="223"/>
        <v>4.700000000000001</v>
      </c>
      <c r="N80" s="258">
        <f t="shared" si="223"/>
        <v>13.280000000000003</v>
      </c>
      <c r="O80" s="256">
        <f t="shared" si="223"/>
        <v>17.15</v>
      </c>
      <c r="P80" s="257">
        <f t="shared" si="223"/>
        <v>0.9889600000000011</v>
      </c>
      <c r="Q80" s="257">
        <f t="shared" si="223"/>
        <v>3.461040000000002</v>
      </c>
      <c r="R80" s="257">
        <f t="shared" si="223"/>
        <v>13.399999999999999</v>
      </c>
      <c r="S80" s="256">
        <f t="shared" si="223"/>
        <v>10.4</v>
      </c>
      <c r="T80" s="257">
        <f t="shared" si="223"/>
        <v>6.1</v>
      </c>
      <c r="U80" s="257">
        <f t="shared" si="223"/>
        <v>8.899999999999997</v>
      </c>
      <c r="V80" s="257">
        <f t="shared" si="223"/>
        <v>13.692720000000001</v>
      </c>
      <c r="W80" s="256">
        <f t="shared" si="223"/>
        <v>13.34662</v>
      </c>
      <c r="X80" s="257">
        <f t="shared" si="223"/>
        <v>7.127630000000002</v>
      </c>
      <c r="Y80" s="257">
        <f t="shared" si="223"/>
        <v>1.62575</v>
      </c>
      <c r="Z80" s="257">
        <f t="shared" si="223"/>
        <v>13.799999999999992</v>
      </c>
      <c r="AA80" s="256">
        <f t="shared" si="223"/>
        <v>7.2698</v>
      </c>
      <c r="AB80" s="257">
        <f t="shared" si="223"/>
        <v>2.7203800000000005</v>
      </c>
      <c r="AC80" s="257">
        <f t="shared" si="223"/>
        <v>2.209819999999999</v>
      </c>
      <c r="AD80" s="257">
        <f t="shared" si="223"/>
        <v>11.585000000000004</v>
      </c>
      <c r="AE80" s="256">
        <f t="shared" si="223"/>
        <v>4.5816</v>
      </c>
      <c r="AF80" s="257">
        <f t="shared" si="223"/>
        <v>3.9695599999999995</v>
      </c>
      <c r="AG80" s="257">
        <f aca="true" t="shared" si="224" ref="AG80:AL80">AG82</f>
        <v>2.7488400000000013</v>
      </c>
      <c r="AH80" s="268">
        <f t="shared" si="224"/>
        <v>11.308969999999999</v>
      </c>
      <c r="AI80" s="465">
        <f t="shared" si="224"/>
        <v>16.796504</v>
      </c>
      <c r="AJ80" s="257">
        <f t="shared" si="224"/>
        <v>14.284116000000001</v>
      </c>
      <c r="AK80" s="257">
        <f t="shared" si="224"/>
        <v>19.508354</v>
      </c>
      <c r="AL80" s="257">
        <f t="shared" si="224"/>
        <v>24.580496</v>
      </c>
      <c r="AM80" s="465">
        <f aca="true" t="shared" si="225" ref="AM80:AR80">AM82</f>
        <v>15.993</v>
      </c>
      <c r="AN80" s="257">
        <f t="shared" si="225"/>
        <v>5.696500000000002</v>
      </c>
      <c r="AO80" s="257">
        <f t="shared" si="225"/>
        <v>11.23137</v>
      </c>
      <c r="AP80" s="257">
        <f t="shared" si="225"/>
        <v>11.487569999999996</v>
      </c>
      <c r="AQ80" s="256">
        <f t="shared" si="225"/>
        <v>9.80809</v>
      </c>
      <c r="AR80" s="257">
        <f t="shared" si="225"/>
        <v>5.40574</v>
      </c>
      <c r="AS80" s="257">
        <f aca="true" t="shared" si="226" ref="AS80:AX80">AS82</f>
        <v>8.786609999999998</v>
      </c>
      <c r="AT80" s="257">
        <f t="shared" si="226"/>
        <v>12.289580999999998</v>
      </c>
      <c r="AU80" s="465">
        <f t="shared" si="226"/>
        <v>8.821907999999999</v>
      </c>
      <c r="AV80" s="257">
        <f t="shared" si="226"/>
        <v>6.928613000000002</v>
      </c>
      <c r="AW80" s="257">
        <f t="shared" si="226"/>
        <v>10.837909999999995</v>
      </c>
      <c r="AX80" s="268">
        <f t="shared" si="226"/>
        <v>25.846540000000005</v>
      </c>
      <c r="AY80" s="256">
        <f aca="true" t="shared" si="227" ref="AY80:BD80">AY82</f>
        <v>7.94014</v>
      </c>
      <c r="AZ80" s="257">
        <f t="shared" si="227"/>
        <v>17.254019999999997</v>
      </c>
      <c r="BA80" s="257">
        <f t="shared" si="227"/>
        <v>14.77821</v>
      </c>
      <c r="BB80" s="257">
        <f t="shared" si="227"/>
        <v>21.368739999999995</v>
      </c>
      <c r="BC80" s="256">
        <f t="shared" si="227"/>
        <v>7.212219999999999</v>
      </c>
      <c r="BD80" s="257">
        <f t="shared" si="227"/>
        <v>5.88434</v>
      </c>
      <c r="BE80" s="257">
        <f aca="true" t="shared" si="228" ref="BE80:BJ80">BE82</f>
        <v>17.158747000000005</v>
      </c>
      <c r="BF80" s="257">
        <f t="shared" si="228"/>
        <v>10.775569999999995</v>
      </c>
      <c r="BG80" s="256">
        <f t="shared" si="228"/>
        <v>3.7532699999999997</v>
      </c>
      <c r="BH80" s="257">
        <f t="shared" si="228"/>
        <v>1.6753100000000005</v>
      </c>
      <c r="BI80" s="257">
        <f t="shared" si="228"/>
        <v>16.455630000000003</v>
      </c>
      <c r="BJ80" s="257">
        <f t="shared" si="228"/>
        <v>3.3259399999999992</v>
      </c>
      <c r="BK80" s="619"/>
      <c r="BL80" s="104"/>
      <c r="BM80" s="104"/>
      <c r="BN80" s="104"/>
      <c r="BO80" s="105"/>
      <c r="BP80" s="106"/>
      <c r="BQ80" s="107"/>
      <c r="BR80" s="107"/>
      <c r="BS80" s="108"/>
      <c r="BT80" s="106"/>
      <c r="BU80" s="107"/>
      <c r="BV80" s="107"/>
      <c r="BW80" s="108"/>
      <c r="BX80" s="106"/>
      <c r="BY80" s="107"/>
      <c r="BZ80" s="107"/>
      <c r="CA80" s="107"/>
      <c r="CB80" s="106"/>
      <c r="CC80" s="107"/>
      <c r="CD80" s="107"/>
      <c r="CE80" s="107"/>
      <c r="CF80" s="106"/>
      <c r="CG80" s="107"/>
      <c r="CH80" s="107"/>
      <c r="CI80" s="107"/>
      <c r="CJ80" s="106"/>
      <c r="CK80" s="107"/>
      <c r="CL80" s="107"/>
      <c r="CM80" s="405"/>
      <c r="CN80" s="106"/>
      <c r="CO80" s="107"/>
      <c r="CP80" s="107"/>
      <c r="CQ80" s="107"/>
      <c r="CR80" s="471"/>
      <c r="CS80" s="107"/>
      <c r="CT80" s="107"/>
      <c r="CU80" s="107"/>
      <c r="CV80" s="106"/>
      <c r="CW80" s="107"/>
      <c r="CX80" s="107"/>
      <c r="CY80" s="107"/>
      <c r="CZ80" s="106"/>
      <c r="DA80" s="107"/>
      <c r="DB80" s="107"/>
      <c r="DC80" s="107"/>
      <c r="DD80" s="106"/>
      <c r="DE80" s="107"/>
      <c r="DF80" s="107"/>
      <c r="DG80" s="107"/>
      <c r="DH80" s="106"/>
      <c r="DI80" s="107"/>
      <c r="DJ80" s="107"/>
      <c r="DK80" s="107"/>
      <c r="DL80" s="106"/>
      <c r="DM80" s="107"/>
      <c r="DN80" s="107"/>
      <c r="DO80" s="107"/>
      <c r="DP80" s="106"/>
      <c r="DQ80" s="107"/>
      <c r="DR80" s="107"/>
      <c r="DS80" s="107"/>
      <c r="DT80" s="91"/>
      <c r="DU80" s="126"/>
      <c r="DV80" s="126"/>
      <c r="DW80" s="126"/>
      <c r="DX80" s="342"/>
      <c r="DY80" s="343"/>
      <c r="DZ80" s="126"/>
      <c r="EA80" s="126"/>
      <c r="EB80" s="342"/>
      <c r="EC80" s="343"/>
      <c r="ED80" s="126"/>
      <c r="EE80" s="126"/>
      <c r="EF80" s="126"/>
      <c r="EG80" s="343"/>
      <c r="EH80" s="126"/>
      <c r="EI80" s="126"/>
      <c r="EJ80" s="126"/>
      <c r="EK80" s="490"/>
      <c r="EL80" s="126"/>
      <c r="EM80" s="126"/>
      <c r="EN80" s="126"/>
      <c r="EO80" s="343"/>
      <c r="EP80" s="126"/>
      <c r="EQ80" s="126"/>
      <c r="ER80" s="126"/>
      <c r="ES80" s="490"/>
      <c r="ET80" s="126"/>
      <c r="EU80" s="126"/>
      <c r="EV80" s="126"/>
      <c r="EW80" s="343"/>
      <c r="EX80" s="126"/>
      <c r="EY80" s="126"/>
      <c r="EZ80" s="126"/>
      <c r="FA80" s="343"/>
      <c r="FB80" s="126"/>
      <c r="FC80" s="126"/>
      <c r="FD80" s="126"/>
      <c r="FE80" s="343"/>
      <c r="FF80" s="126"/>
      <c r="FG80" s="126"/>
      <c r="FH80" s="126"/>
      <c r="FI80" s="343"/>
      <c r="FJ80" s="126"/>
      <c r="FK80" s="126"/>
      <c r="FL80" s="126"/>
      <c r="FM80" s="127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</row>
    <row r="81" spans="1:202" ht="15.75">
      <c r="A81" s="116" t="s">
        <v>106</v>
      </c>
      <c r="B81" s="116" t="s">
        <v>150</v>
      </c>
      <c r="C81" s="252">
        <f aca="true" t="shared" si="229" ref="C81:AL81">C140+C182</f>
        <v>322.696</v>
      </c>
      <c r="D81" s="252">
        <f t="shared" si="229"/>
        <v>403.91200000000003</v>
      </c>
      <c r="E81" s="252">
        <f t="shared" si="229"/>
        <v>394.46750000000003</v>
      </c>
      <c r="F81" s="260">
        <f t="shared" si="229"/>
        <v>468.76199999999994</v>
      </c>
      <c r="G81" s="259">
        <f t="shared" si="229"/>
        <v>425.90000000000003</v>
      </c>
      <c r="H81" s="252">
        <f t="shared" si="229"/>
        <v>439.819</v>
      </c>
      <c r="I81" s="252">
        <f t="shared" si="229"/>
        <v>372.3809999999999</v>
      </c>
      <c r="J81" s="260">
        <f t="shared" si="229"/>
        <v>436.59999999999997</v>
      </c>
      <c r="K81" s="259">
        <f t="shared" si="229"/>
        <v>452.7</v>
      </c>
      <c r="L81" s="252">
        <f t="shared" si="229"/>
        <v>421.04168</v>
      </c>
      <c r="M81" s="252">
        <f t="shared" si="229"/>
        <v>428.66551</v>
      </c>
      <c r="N81" s="260">
        <f t="shared" si="229"/>
        <v>458.69281000000007</v>
      </c>
      <c r="O81" s="259">
        <f t="shared" si="229"/>
        <v>475.55899999999997</v>
      </c>
      <c r="P81" s="252">
        <f t="shared" si="229"/>
        <v>356.3599999999999</v>
      </c>
      <c r="Q81" s="252">
        <f t="shared" si="229"/>
        <v>369.2130000000001</v>
      </c>
      <c r="R81" s="252">
        <f t="shared" si="229"/>
        <v>442.2679999999999</v>
      </c>
      <c r="S81" s="259">
        <f t="shared" si="229"/>
        <v>448.3</v>
      </c>
      <c r="T81" s="252">
        <f t="shared" si="229"/>
        <v>437.40000000000003</v>
      </c>
      <c r="U81" s="252">
        <f t="shared" si="229"/>
        <v>435.07499999999993</v>
      </c>
      <c r="V81" s="252">
        <f t="shared" si="229"/>
        <v>461.3575000000001</v>
      </c>
      <c r="W81" s="259">
        <f t="shared" si="229"/>
        <v>469.842</v>
      </c>
      <c r="X81" s="252">
        <f t="shared" si="229"/>
        <v>427.91600000000005</v>
      </c>
      <c r="Y81" s="252">
        <f t="shared" si="229"/>
        <v>401.842</v>
      </c>
      <c r="Z81" s="252">
        <f t="shared" si="229"/>
        <v>427.29999999999995</v>
      </c>
      <c r="AA81" s="259">
        <f t="shared" si="229"/>
        <v>456.537</v>
      </c>
      <c r="AB81" s="252">
        <f t="shared" si="229"/>
        <v>436.62200000000007</v>
      </c>
      <c r="AC81" s="252">
        <f t="shared" si="229"/>
        <v>451.38799999999986</v>
      </c>
      <c r="AD81" s="252">
        <f t="shared" si="229"/>
        <v>503.7500000000001</v>
      </c>
      <c r="AE81" s="259">
        <f t="shared" si="229"/>
        <v>489.83198</v>
      </c>
      <c r="AF81" s="252">
        <f t="shared" si="229"/>
        <v>450.7000000000001</v>
      </c>
      <c r="AG81" s="252">
        <f t="shared" si="229"/>
        <v>464.9839999999999</v>
      </c>
      <c r="AH81" s="267">
        <f t="shared" si="229"/>
        <v>472.76199999999994</v>
      </c>
      <c r="AI81" s="275">
        <f t="shared" si="229"/>
        <v>540.598</v>
      </c>
      <c r="AJ81" s="252">
        <f t="shared" si="229"/>
        <v>567.702</v>
      </c>
      <c r="AK81" s="252">
        <f t="shared" si="229"/>
        <v>537.775</v>
      </c>
      <c r="AL81" s="252">
        <f t="shared" si="229"/>
        <v>573.2410000000002</v>
      </c>
      <c r="AM81" s="275">
        <f aca="true" t="shared" si="230" ref="AM81:BE81">AM140+AM182</f>
        <v>585.943</v>
      </c>
      <c r="AN81" s="252">
        <f t="shared" si="230"/>
        <v>562.428</v>
      </c>
      <c r="AO81" s="252">
        <f t="shared" si="230"/>
        <v>571.806</v>
      </c>
      <c r="AP81" s="252">
        <f t="shared" si="230"/>
        <v>608.8340000000001</v>
      </c>
      <c r="AQ81" s="259">
        <f t="shared" si="230"/>
        <v>573.754</v>
      </c>
      <c r="AR81" s="252">
        <f t="shared" si="230"/>
        <v>424.1599000000001</v>
      </c>
      <c r="AS81" s="252">
        <f t="shared" si="230"/>
        <v>496.91409999999996</v>
      </c>
      <c r="AT81" s="252">
        <f t="shared" si="230"/>
        <v>397.36</v>
      </c>
      <c r="AU81" s="275">
        <f t="shared" si="230"/>
        <v>590.22086</v>
      </c>
      <c r="AV81" s="252">
        <f t="shared" si="230"/>
        <v>489.8469999999999</v>
      </c>
      <c r="AW81" s="252">
        <f t="shared" si="230"/>
        <v>582.5590000000002</v>
      </c>
      <c r="AX81" s="267">
        <f t="shared" si="230"/>
        <v>573.3649999999999</v>
      </c>
      <c r="AY81" s="259">
        <f t="shared" si="230"/>
        <v>584.462</v>
      </c>
      <c r="AZ81" s="252">
        <f t="shared" si="230"/>
        <v>616.587</v>
      </c>
      <c r="BA81" s="252">
        <f t="shared" si="230"/>
        <v>596.9860000000001</v>
      </c>
      <c r="BB81" s="252">
        <f t="shared" si="230"/>
        <v>608.3859999999997</v>
      </c>
      <c r="BC81" s="259">
        <f t="shared" si="230"/>
        <v>586.6560000000001</v>
      </c>
      <c r="BD81" s="252">
        <f t="shared" si="230"/>
        <v>566.15836</v>
      </c>
      <c r="BE81" s="252">
        <f t="shared" si="230"/>
        <v>546.38064</v>
      </c>
      <c r="BF81" s="252">
        <f aca="true" t="shared" si="231" ref="BF81:BI84">BF140+BF182</f>
        <v>526.7010000000001</v>
      </c>
      <c r="BG81" s="259">
        <f t="shared" si="231"/>
        <v>595.5630000000001</v>
      </c>
      <c r="BH81" s="252">
        <f t="shared" si="231"/>
        <v>594.628</v>
      </c>
      <c r="BI81" s="252">
        <f t="shared" si="231"/>
        <v>574.9259999999999</v>
      </c>
      <c r="BJ81" s="252">
        <f>BJ140+BJ182</f>
        <v>602.655</v>
      </c>
      <c r="BK81" s="619"/>
      <c r="BL81" s="121">
        <f aca="true" t="shared" si="232" ref="BL81:CU81">BL140+BL182</f>
        <v>352.754705</v>
      </c>
      <c r="BM81" s="121">
        <f t="shared" si="232"/>
        <v>401.995256</v>
      </c>
      <c r="BN81" s="121">
        <f t="shared" si="232"/>
        <v>394.32601200000005</v>
      </c>
      <c r="BO81" s="122">
        <f t="shared" si="232"/>
        <v>448.78597599999995</v>
      </c>
      <c r="BP81" s="123">
        <f t="shared" si="232"/>
        <v>426.79999999999995</v>
      </c>
      <c r="BQ81" s="124">
        <f t="shared" si="232"/>
        <v>419.4746160000001</v>
      </c>
      <c r="BR81" s="124">
        <f t="shared" si="232"/>
        <v>374.425384</v>
      </c>
      <c r="BS81" s="125">
        <f t="shared" si="232"/>
        <v>404.9000000000001</v>
      </c>
      <c r="BT81" s="123">
        <f t="shared" si="232"/>
        <v>456.29999999999995</v>
      </c>
      <c r="BU81" s="124">
        <f t="shared" si="232"/>
        <v>425.50713999999994</v>
      </c>
      <c r="BV81" s="124">
        <f t="shared" si="232"/>
        <v>411.39286000000016</v>
      </c>
      <c r="BW81" s="125">
        <f t="shared" si="232"/>
        <v>462.19440399999996</v>
      </c>
      <c r="BX81" s="123">
        <f t="shared" si="232"/>
        <v>456.1</v>
      </c>
      <c r="BY81" s="124">
        <f t="shared" si="232"/>
        <v>363.858</v>
      </c>
      <c r="BZ81" s="124">
        <f t="shared" si="232"/>
        <v>356.04200000000003</v>
      </c>
      <c r="CA81" s="124">
        <f t="shared" si="232"/>
        <v>403.48786599999994</v>
      </c>
      <c r="CB81" s="123">
        <f t="shared" si="232"/>
        <v>448.09999999999997</v>
      </c>
      <c r="CC81" s="124">
        <f t="shared" si="232"/>
        <v>407.4874230000001</v>
      </c>
      <c r="CD81" s="124">
        <f t="shared" si="232"/>
        <v>450.34363</v>
      </c>
      <c r="CE81" s="124">
        <f t="shared" si="232"/>
        <v>455.4760109999999</v>
      </c>
      <c r="CF81" s="123">
        <f t="shared" si="232"/>
        <v>458.109378</v>
      </c>
      <c r="CG81" s="124">
        <f t="shared" si="232"/>
        <v>412.68122700000004</v>
      </c>
      <c r="CH81" s="124">
        <f t="shared" si="232"/>
        <v>412.00939500000004</v>
      </c>
      <c r="CI81" s="124">
        <f t="shared" si="232"/>
        <v>414.49999999999994</v>
      </c>
      <c r="CJ81" s="123">
        <f t="shared" si="232"/>
        <v>435.198394</v>
      </c>
      <c r="CK81" s="124">
        <f t="shared" si="232"/>
        <v>434.395184</v>
      </c>
      <c r="CL81" s="124">
        <f t="shared" si="232"/>
        <v>459.16394</v>
      </c>
      <c r="CM81" s="407">
        <f t="shared" si="232"/>
        <v>480.4797919999987</v>
      </c>
      <c r="CN81" s="123">
        <f t="shared" si="232"/>
        <v>494.07964</v>
      </c>
      <c r="CO81" s="124">
        <f t="shared" si="232"/>
        <v>441.39664400000004</v>
      </c>
      <c r="CP81" s="124">
        <f t="shared" si="232"/>
        <v>473.67670599999997</v>
      </c>
      <c r="CQ81" s="124">
        <f t="shared" si="232"/>
        <v>454.120512</v>
      </c>
      <c r="CR81" s="473">
        <f t="shared" si="232"/>
        <v>516.77495</v>
      </c>
      <c r="CS81" s="124">
        <f t="shared" si="232"/>
        <v>519.76212</v>
      </c>
      <c r="CT81" s="124">
        <f t="shared" si="232"/>
        <v>564.7518600000001</v>
      </c>
      <c r="CU81" s="124">
        <f t="shared" si="232"/>
        <v>534.4615099999999</v>
      </c>
      <c r="CV81" s="123">
        <f aca="true" t="shared" si="233" ref="CV81:DA81">CV140+CV182</f>
        <v>568.87063</v>
      </c>
      <c r="CW81" s="124">
        <f t="shared" si="233"/>
        <v>523.806376</v>
      </c>
      <c r="CX81" s="124">
        <f t="shared" si="233"/>
        <v>564.9762799999999</v>
      </c>
      <c r="CY81" s="124">
        <f t="shared" si="233"/>
        <v>608.2085799999999</v>
      </c>
      <c r="CZ81" s="123">
        <f t="shared" si="233"/>
        <v>543.9011</v>
      </c>
      <c r="DA81" s="124">
        <f t="shared" si="233"/>
        <v>433.0656399999999</v>
      </c>
      <c r="DB81" s="124">
        <f aca="true" t="shared" si="234" ref="DB81:DG81">DB140+DB182</f>
        <v>478.57463999999993</v>
      </c>
      <c r="DC81" s="124">
        <f t="shared" si="234"/>
        <v>412.9709599999997</v>
      </c>
      <c r="DD81" s="123">
        <f t="shared" si="234"/>
        <v>578.4274800000001</v>
      </c>
      <c r="DE81" s="124">
        <f t="shared" si="234"/>
        <v>487.5137300000002</v>
      </c>
      <c r="DF81" s="124">
        <f t="shared" si="234"/>
        <v>589.215496</v>
      </c>
      <c r="DG81" s="124">
        <f t="shared" si="234"/>
        <v>514.9296300000001</v>
      </c>
      <c r="DH81" s="123">
        <f aca="true" t="shared" si="235" ref="DH81:DM81">DH140+DH182</f>
        <v>583.12292</v>
      </c>
      <c r="DI81" s="124">
        <f t="shared" si="235"/>
        <v>606.6877499999998</v>
      </c>
      <c r="DJ81" s="124">
        <f t="shared" si="235"/>
        <v>453.8559746</v>
      </c>
      <c r="DK81" s="124">
        <f t="shared" si="235"/>
        <v>637.2809010000001</v>
      </c>
      <c r="DL81" s="123">
        <f t="shared" si="235"/>
        <v>641.166858</v>
      </c>
      <c r="DM81" s="124">
        <f t="shared" si="235"/>
        <v>413.7877940000001</v>
      </c>
      <c r="DN81" s="124">
        <f aca="true" t="shared" si="236" ref="DN81:DS81">DN140+DN182</f>
        <v>578.8127</v>
      </c>
      <c r="DO81" s="124">
        <f t="shared" si="236"/>
        <v>472.92999800000007</v>
      </c>
      <c r="DP81" s="123">
        <f t="shared" si="236"/>
        <v>594.016212</v>
      </c>
      <c r="DQ81" s="124">
        <f t="shared" si="236"/>
        <v>576.990415</v>
      </c>
      <c r="DR81" s="124">
        <f t="shared" si="236"/>
        <v>606.392405</v>
      </c>
      <c r="DS81" s="124">
        <f t="shared" si="236"/>
        <v>531.1404279999999</v>
      </c>
      <c r="DT81" s="91"/>
      <c r="DU81" s="109">
        <v>414.9</v>
      </c>
      <c r="DV81" s="109">
        <v>488.4</v>
      </c>
      <c r="DW81" s="109">
        <v>418.4</v>
      </c>
      <c r="DX81" s="340">
        <v>473.8</v>
      </c>
      <c r="DY81" s="341">
        <v>472.1492900000001</v>
      </c>
      <c r="DZ81" s="109">
        <f>FQ81-DY81</f>
        <v>490.18826199999995</v>
      </c>
      <c r="EA81" s="109">
        <f>FR81-FQ81</f>
        <v>343.3265900000009</v>
      </c>
      <c r="EB81" s="340">
        <f>FS81-FR81</f>
        <v>410.84150749999935</v>
      </c>
      <c r="EC81" s="341">
        <v>430.05823399999997</v>
      </c>
      <c r="ED81" s="109">
        <f>FT81-EC81</f>
        <v>431.7059200000001</v>
      </c>
      <c r="EE81" s="109">
        <f>FU81-EC81-ED81</f>
        <v>475.57180400000004</v>
      </c>
      <c r="EF81" s="109">
        <f>FV81-EE81-ED81-EC81</f>
        <v>388.1643319999997</v>
      </c>
      <c r="EG81" s="341">
        <v>537.5753200000001</v>
      </c>
      <c r="EH81" s="109">
        <f>FW81-EG81</f>
        <v>437.7603439999998</v>
      </c>
      <c r="EI81" s="109">
        <f>FX81-EH81-EG81</f>
        <v>495.95661800000016</v>
      </c>
      <c r="EJ81" s="109">
        <f>FY81-EI81-EH81-EG81</f>
        <v>481.5199799999996</v>
      </c>
      <c r="EK81" s="420">
        <v>484.689882</v>
      </c>
      <c r="EL81" s="109">
        <f>FZ81-EK81</f>
        <v>478.36060699999996</v>
      </c>
      <c r="EM81" s="109">
        <f>GA81-EL81-EK81</f>
        <v>566.9894799999998</v>
      </c>
      <c r="EN81" s="109">
        <f>GB81-EM81-EL81-EK81</f>
        <v>545.9103229999997</v>
      </c>
      <c r="EO81" s="341">
        <v>544.4034800000002</v>
      </c>
      <c r="EP81" s="109">
        <f>GC81-EO81</f>
        <v>550.6623314999999</v>
      </c>
      <c r="EQ81" s="109">
        <f>GD81-GC81</f>
        <v>590.835108</v>
      </c>
      <c r="ER81" s="109">
        <f>GE81-GD81</f>
        <v>557.6177600000008</v>
      </c>
      <c r="ES81" s="420">
        <v>523.93259</v>
      </c>
      <c r="ET81" s="109">
        <f>GF81-ES81</f>
        <v>470.1998599999997</v>
      </c>
      <c r="EU81" s="109">
        <f>GG81-ET81-ES81</f>
        <v>491.54118800000094</v>
      </c>
      <c r="EV81" s="109">
        <f>GH81-GG81</f>
        <v>488.7156269999996</v>
      </c>
      <c r="EW81" s="341">
        <v>521.866433</v>
      </c>
      <c r="EX81" s="109">
        <f>GI81-EW81</f>
        <v>504.95821899999976</v>
      </c>
      <c r="EY81" s="109">
        <f>GJ81-EX81-EW81</f>
        <v>494.6552390000006</v>
      </c>
      <c r="EZ81" s="109">
        <f>GK81-GJ81</f>
        <v>619.435109</v>
      </c>
      <c r="FA81" s="341">
        <v>585.7228359999999</v>
      </c>
      <c r="FB81" s="109">
        <f>GL81-FA81</f>
        <v>511.5331570000003</v>
      </c>
      <c r="FC81" s="109">
        <f>GM81-GL81</f>
        <v>496.7898974</v>
      </c>
      <c r="FD81" s="109">
        <f>GN81-GM81</f>
        <v>643.3631561999996</v>
      </c>
      <c r="FE81" s="341">
        <v>687.4933679999999</v>
      </c>
      <c r="FF81" s="109">
        <f>GO81-FE81</f>
        <v>455.78765400000043</v>
      </c>
      <c r="FG81" s="109">
        <f>GP81-GO81</f>
        <v>580.8978769999997</v>
      </c>
      <c r="FH81" s="109">
        <f>GQ81-GP81</f>
        <v>485.6119329999997</v>
      </c>
      <c r="FI81" s="341">
        <v>589.2927519999998</v>
      </c>
      <c r="FJ81" s="109">
        <f>GR81-FI81</f>
        <v>517.8185250000001</v>
      </c>
      <c r="FK81" s="109">
        <f>GS81-GR81</f>
        <v>637.5932680000001</v>
      </c>
      <c r="FL81" s="109">
        <f>GT81-GS81</f>
        <v>546.0783510000006</v>
      </c>
      <c r="FM81" s="63"/>
      <c r="FN81" s="419">
        <v>903.4</v>
      </c>
      <c r="FO81" s="419">
        <v>1321.7</v>
      </c>
      <c r="FP81" s="419">
        <v>1795.539526</v>
      </c>
      <c r="FQ81" s="419">
        <v>962.3375520000001</v>
      </c>
      <c r="FR81" s="419">
        <v>1305.664142000001</v>
      </c>
      <c r="FS81" s="419">
        <v>1716.5056495000003</v>
      </c>
      <c r="FT81" s="419">
        <v>861.7641540000001</v>
      </c>
      <c r="FU81" s="419">
        <v>1337.3359580000001</v>
      </c>
      <c r="FV81" s="419">
        <v>1725.5002899999997</v>
      </c>
      <c r="FW81" s="419">
        <v>975.335664</v>
      </c>
      <c r="FX81" s="447">
        <v>1471.2922820000001</v>
      </c>
      <c r="FY81" s="447">
        <v>1952.8122619999997</v>
      </c>
      <c r="FZ81" s="447">
        <v>963.050489</v>
      </c>
      <c r="GA81" s="447">
        <v>1530.0399689999997</v>
      </c>
      <c r="GB81" s="447">
        <v>2075.9502919999995</v>
      </c>
      <c r="GC81" s="447">
        <v>1095.0658115</v>
      </c>
      <c r="GD81" s="447">
        <v>1685.9009195</v>
      </c>
      <c r="GE81" s="447">
        <v>2243.518679500001</v>
      </c>
      <c r="GF81" s="447">
        <v>994.1324499999997</v>
      </c>
      <c r="GG81" s="447">
        <v>1485.6736380000007</v>
      </c>
      <c r="GH81" s="447">
        <v>1974.3892650000003</v>
      </c>
      <c r="GI81" s="447">
        <v>1026.8246519999998</v>
      </c>
      <c r="GJ81" s="447">
        <v>1521.4798910000004</v>
      </c>
      <c r="GK81" s="447">
        <v>2140.9150000000004</v>
      </c>
      <c r="GL81" s="447">
        <v>1097.2559930000002</v>
      </c>
      <c r="GM81" s="447">
        <v>1594.0458904000002</v>
      </c>
      <c r="GN81" s="447">
        <v>2237.4090466</v>
      </c>
      <c r="GO81" s="447">
        <v>1143.2810220000003</v>
      </c>
      <c r="GP81" s="447">
        <v>1724.178899</v>
      </c>
      <c r="GQ81" s="447">
        <v>2209.7908319999997</v>
      </c>
      <c r="GR81" s="447">
        <v>1107.111277</v>
      </c>
      <c r="GS81" s="447">
        <v>1744.704545</v>
      </c>
      <c r="GT81" s="447">
        <v>2290.7828960000006</v>
      </c>
    </row>
    <row r="82" spans="1:202" s="129" customFormat="1" ht="15.75">
      <c r="A82" s="100" t="s">
        <v>104</v>
      </c>
      <c r="B82" s="100" t="s">
        <v>93</v>
      </c>
      <c r="C82" s="257">
        <f aca="true" t="shared" si="237" ref="C82:AL82">C141+C183</f>
        <v>12.80566</v>
      </c>
      <c r="D82" s="257">
        <f t="shared" si="237"/>
        <v>1.6466399999999997</v>
      </c>
      <c r="E82" s="257">
        <f t="shared" si="237"/>
        <v>8.3367</v>
      </c>
      <c r="F82" s="258">
        <f t="shared" si="237"/>
        <v>12.1469</v>
      </c>
      <c r="G82" s="256">
        <f t="shared" si="237"/>
        <v>5.5</v>
      </c>
      <c r="H82" s="257">
        <f t="shared" si="237"/>
        <v>4.4</v>
      </c>
      <c r="I82" s="257">
        <f t="shared" si="237"/>
        <v>3.0999999999999996</v>
      </c>
      <c r="J82" s="258">
        <f t="shared" si="237"/>
        <v>20.6</v>
      </c>
      <c r="K82" s="256">
        <f t="shared" si="237"/>
        <v>14.4</v>
      </c>
      <c r="L82" s="257">
        <f t="shared" si="237"/>
        <v>0.819999999999999</v>
      </c>
      <c r="M82" s="257">
        <f t="shared" si="237"/>
        <v>4.700000000000001</v>
      </c>
      <c r="N82" s="258">
        <f t="shared" si="237"/>
        <v>13.280000000000003</v>
      </c>
      <c r="O82" s="256">
        <f t="shared" si="237"/>
        <v>17.15</v>
      </c>
      <c r="P82" s="257">
        <f t="shared" si="237"/>
        <v>0.9889600000000011</v>
      </c>
      <c r="Q82" s="257">
        <f t="shared" si="237"/>
        <v>3.461040000000002</v>
      </c>
      <c r="R82" s="257">
        <f t="shared" si="237"/>
        <v>13.399999999999999</v>
      </c>
      <c r="S82" s="256">
        <f t="shared" si="237"/>
        <v>10.4</v>
      </c>
      <c r="T82" s="257">
        <f t="shared" si="237"/>
        <v>6.1</v>
      </c>
      <c r="U82" s="257">
        <f t="shared" si="237"/>
        <v>8.899999999999997</v>
      </c>
      <c r="V82" s="257">
        <f t="shared" si="237"/>
        <v>13.692720000000001</v>
      </c>
      <c r="W82" s="256">
        <f t="shared" si="237"/>
        <v>13.34662</v>
      </c>
      <c r="X82" s="257">
        <f t="shared" si="237"/>
        <v>7.127630000000002</v>
      </c>
      <c r="Y82" s="257">
        <f t="shared" si="237"/>
        <v>1.62575</v>
      </c>
      <c r="Z82" s="257">
        <f t="shared" si="237"/>
        <v>13.799999999999992</v>
      </c>
      <c r="AA82" s="256">
        <f t="shared" si="237"/>
        <v>7.2698</v>
      </c>
      <c r="AB82" s="257">
        <f t="shared" si="237"/>
        <v>2.7203800000000005</v>
      </c>
      <c r="AC82" s="257">
        <f t="shared" si="237"/>
        <v>2.209819999999999</v>
      </c>
      <c r="AD82" s="257">
        <f t="shared" si="237"/>
        <v>11.585000000000004</v>
      </c>
      <c r="AE82" s="256">
        <f t="shared" si="237"/>
        <v>4.5816</v>
      </c>
      <c r="AF82" s="257">
        <f t="shared" si="237"/>
        <v>3.9695599999999995</v>
      </c>
      <c r="AG82" s="257">
        <f t="shared" si="237"/>
        <v>2.7488400000000013</v>
      </c>
      <c r="AH82" s="268">
        <f t="shared" si="237"/>
        <v>11.308969999999999</v>
      </c>
      <c r="AI82" s="465">
        <f t="shared" si="237"/>
        <v>16.796504</v>
      </c>
      <c r="AJ82" s="257">
        <f t="shared" si="237"/>
        <v>14.284116000000001</v>
      </c>
      <c r="AK82" s="257">
        <f t="shared" si="237"/>
        <v>19.508354</v>
      </c>
      <c r="AL82" s="257">
        <f t="shared" si="237"/>
        <v>24.580496</v>
      </c>
      <c r="AM82" s="465">
        <f aca="true" t="shared" si="238" ref="AM82:BE82">AM141+AM183</f>
        <v>15.993</v>
      </c>
      <c r="AN82" s="257">
        <f t="shared" si="238"/>
        <v>5.696500000000002</v>
      </c>
      <c r="AO82" s="257">
        <f t="shared" si="238"/>
        <v>11.23137</v>
      </c>
      <c r="AP82" s="257">
        <f t="shared" si="238"/>
        <v>11.487569999999996</v>
      </c>
      <c r="AQ82" s="256">
        <f t="shared" si="238"/>
        <v>9.80809</v>
      </c>
      <c r="AR82" s="257">
        <f t="shared" si="238"/>
        <v>5.40574</v>
      </c>
      <c r="AS82" s="257">
        <f t="shared" si="238"/>
        <v>8.786609999999998</v>
      </c>
      <c r="AT82" s="257">
        <f t="shared" si="238"/>
        <v>12.289580999999998</v>
      </c>
      <c r="AU82" s="465">
        <f t="shared" si="238"/>
        <v>8.821907999999999</v>
      </c>
      <c r="AV82" s="257">
        <f t="shared" si="238"/>
        <v>6.928613000000002</v>
      </c>
      <c r="AW82" s="257">
        <f t="shared" si="238"/>
        <v>10.837909999999995</v>
      </c>
      <c r="AX82" s="268">
        <f t="shared" si="238"/>
        <v>25.846540000000005</v>
      </c>
      <c r="AY82" s="256">
        <f t="shared" si="238"/>
        <v>7.94014</v>
      </c>
      <c r="AZ82" s="257">
        <f t="shared" si="238"/>
        <v>17.254019999999997</v>
      </c>
      <c r="BA82" s="257">
        <f t="shared" si="238"/>
        <v>14.77821</v>
      </c>
      <c r="BB82" s="257">
        <f t="shared" si="238"/>
        <v>21.368739999999995</v>
      </c>
      <c r="BC82" s="256">
        <f t="shared" si="238"/>
        <v>7.212219999999999</v>
      </c>
      <c r="BD82" s="257">
        <f t="shared" si="238"/>
        <v>5.88434</v>
      </c>
      <c r="BE82" s="257">
        <f t="shared" si="238"/>
        <v>17.158747000000005</v>
      </c>
      <c r="BF82" s="257">
        <f t="shared" si="231"/>
        <v>10.775569999999995</v>
      </c>
      <c r="BG82" s="256">
        <f t="shared" si="231"/>
        <v>3.7532699999999997</v>
      </c>
      <c r="BH82" s="257">
        <f t="shared" si="231"/>
        <v>1.6753100000000005</v>
      </c>
      <c r="BI82" s="257">
        <f t="shared" si="231"/>
        <v>16.455630000000003</v>
      </c>
      <c r="BJ82" s="257">
        <f>BJ141+BJ183</f>
        <v>3.3259399999999992</v>
      </c>
      <c r="BK82" s="619"/>
      <c r="BL82" s="111"/>
      <c r="BM82" s="111"/>
      <c r="BN82" s="111"/>
      <c r="BO82" s="112"/>
      <c r="BP82" s="113"/>
      <c r="BQ82" s="114"/>
      <c r="BR82" s="114"/>
      <c r="BS82" s="115"/>
      <c r="BT82" s="113"/>
      <c r="BU82" s="114"/>
      <c r="BV82" s="114"/>
      <c r="BW82" s="115"/>
      <c r="BX82" s="113"/>
      <c r="BY82" s="114"/>
      <c r="BZ82" s="114"/>
      <c r="CA82" s="114"/>
      <c r="CB82" s="113"/>
      <c r="CC82" s="114"/>
      <c r="CD82" s="114"/>
      <c r="CE82" s="114"/>
      <c r="CF82" s="113"/>
      <c r="CG82" s="114"/>
      <c r="CH82" s="114"/>
      <c r="CI82" s="114"/>
      <c r="CJ82" s="113"/>
      <c r="CK82" s="114"/>
      <c r="CL82" s="114"/>
      <c r="CM82" s="406"/>
      <c r="CN82" s="113"/>
      <c r="CO82" s="114"/>
      <c r="CP82" s="114"/>
      <c r="CQ82" s="114"/>
      <c r="CR82" s="472"/>
      <c r="CS82" s="114"/>
      <c r="CT82" s="114"/>
      <c r="CU82" s="114"/>
      <c r="CV82" s="113"/>
      <c r="CW82" s="114"/>
      <c r="CX82" s="114"/>
      <c r="CY82" s="114"/>
      <c r="CZ82" s="113"/>
      <c r="DA82" s="114"/>
      <c r="DB82" s="114"/>
      <c r="DC82" s="114"/>
      <c r="DD82" s="113"/>
      <c r="DE82" s="114"/>
      <c r="DF82" s="114"/>
      <c r="DG82" s="114"/>
      <c r="DH82" s="113"/>
      <c r="DI82" s="114"/>
      <c r="DJ82" s="114"/>
      <c r="DK82" s="114"/>
      <c r="DL82" s="113"/>
      <c r="DM82" s="114"/>
      <c r="DN82" s="114"/>
      <c r="DO82" s="114"/>
      <c r="DP82" s="113"/>
      <c r="DQ82" s="114"/>
      <c r="DR82" s="114"/>
      <c r="DS82" s="114"/>
      <c r="DT82" s="91"/>
      <c r="DU82" s="126"/>
      <c r="DV82" s="126"/>
      <c r="DW82" s="126"/>
      <c r="DX82" s="342"/>
      <c r="DY82" s="343"/>
      <c r="DZ82" s="126"/>
      <c r="EA82" s="126"/>
      <c r="EB82" s="342"/>
      <c r="EC82" s="343"/>
      <c r="ED82" s="126"/>
      <c r="EE82" s="126"/>
      <c r="EF82" s="126"/>
      <c r="EG82" s="343"/>
      <c r="EH82" s="126"/>
      <c r="EI82" s="126"/>
      <c r="EJ82" s="126"/>
      <c r="EK82" s="490"/>
      <c r="EL82" s="126"/>
      <c r="EM82" s="126"/>
      <c r="EN82" s="126"/>
      <c r="EO82" s="343"/>
      <c r="EP82" s="126"/>
      <c r="EQ82" s="126"/>
      <c r="ER82" s="126"/>
      <c r="ES82" s="490"/>
      <c r="ET82" s="126"/>
      <c r="EU82" s="126"/>
      <c r="EV82" s="126"/>
      <c r="EW82" s="343"/>
      <c r="EX82" s="126"/>
      <c r="EY82" s="126"/>
      <c r="EZ82" s="126"/>
      <c r="FA82" s="343"/>
      <c r="FB82" s="126"/>
      <c r="FC82" s="126"/>
      <c r="FD82" s="126"/>
      <c r="FE82" s="343"/>
      <c r="FF82" s="126"/>
      <c r="FG82" s="126"/>
      <c r="FH82" s="126"/>
      <c r="FI82" s="343"/>
      <c r="FJ82" s="126"/>
      <c r="FK82" s="126"/>
      <c r="FL82" s="126"/>
      <c r="FM82" s="127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</row>
    <row r="83" spans="1:202" ht="15" customHeight="1" hidden="1">
      <c r="A83" s="116" t="s">
        <v>68</v>
      </c>
      <c r="B83" s="117" t="s">
        <v>69</v>
      </c>
      <c r="C83" s="252">
        <f aca="true" t="shared" si="239" ref="C83:AL83">C142+C184</f>
        <v>0</v>
      </c>
      <c r="D83" s="252">
        <f t="shared" si="239"/>
        <v>0</v>
      </c>
      <c r="E83" s="252">
        <f t="shared" si="239"/>
        <v>0</v>
      </c>
      <c r="F83" s="260">
        <f t="shared" si="239"/>
        <v>0</v>
      </c>
      <c r="G83" s="259">
        <f t="shared" si="239"/>
        <v>0</v>
      </c>
      <c r="H83" s="252">
        <f t="shared" si="239"/>
        <v>0</v>
      </c>
      <c r="I83" s="252">
        <f t="shared" si="239"/>
        <v>0</v>
      </c>
      <c r="J83" s="260">
        <f t="shared" si="239"/>
        <v>0</v>
      </c>
      <c r="K83" s="259">
        <f t="shared" si="239"/>
        <v>0</v>
      </c>
      <c r="L83" s="252">
        <f t="shared" si="239"/>
        <v>0</v>
      </c>
      <c r="M83" s="252">
        <f t="shared" si="239"/>
        <v>0</v>
      </c>
      <c r="N83" s="260">
        <f t="shared" si="239"/>
        <v>0</v>
      </c>
      <c r="O83" s="259">
        <f t="shared" si="239"/>
        <v>0</v>
      </c>
      <c r="P83" s="252">
        <f t="shared" si="239"/>
        <v>0</v>
      </c>
      <c r="Q83" s="252">
        <f t="shared" si="239"/>
        <v>0</v>
      </c>
      <c r="R83" s="252">
        <f t="shared" si="239"/>
        <v>0</v>
      </c>
      <c r="S83" s="259">
        <f t="shared" si="239"/>
        <v>0</v>
      </c>
      <c r="T83" s="252">
        <f t="shared" si="239"/>
        <v>0</v>
      </c>
      <c r="U83" s="252">
        <f t="shared" si="239"/>
        <v>0</v>
      </c>
      <c r="V83" s="252">
        <f t="shared" si="239"/>
        <v>0</v>
      </c>
      <c r="W83" s="259">
        <f t="shared" si="239"/>
        <v>0</v>
      </c>
      <c r="X83" s="252">
        <f t="shared" si="239"/>
        <v>0</v>
      </c>
      <c r="Y83" s="252">
        <f t="shared" si="239"/>
        <v>0</v>
      </c>
      <c r="Z83" s="252">
        <f t="shared" si="239"/>
        <v>0</v>
      </c>
      <c r="AA83" s="259">
        <f t="shared" si="239"/>
        <v>0</v>
      </c>
      <c r="AB83" s="252">
        <f t="shared" si="239"/>
        <v>0</v>
      </c>
      <c r="AC83" s="252">
        <f t="shared" si="239"/>
        <v>0</v>
      </c>
      <c r="AD83" s="252">
        <f t="shared" si="239"/>
        <v>0</v>
      </c>
      <c r="AE83" s="259">
        <f t="shared" si="239"/>
        <v>0</v>
      </c>
      <c r="AF83" s="252">
        <f t="shared" si="239"/>
        <v>0</v>
      </c>
      <c r="AG83" s="252">
        <f t="shared" si="239"/>
        <v>0</v>
      </c>
      <c r="AH83" s="267">
        <f t="shared" si="239"/>
        <v>0</v>
      </c>
      <c r="AI83" s="275">
        <f t="shared" si="239"/>
        <v>0</v>
      </c>
      <c r="AJ83" s="252">
        <f t="shared" si="239"/>
        <v>0</v>
      </c>
      <c r="AK83" s="252">
        <f t="shared" si="239"/>
        <v>0</v>
      </c>
      <c r="AL83" s="252">
        <f t="shared" si="239"/>
        <v>0</v>
      </c>
      <c r="AM83" s="275">
        <f aca="true" t="shared" si="240" ref="AM83:BE83">AM142+AM184</f>
        <v>0</v>
      </c>
      <c r="AN83" s="252">
        <f t="shared" si="240"/>
        <v>0</v>
      </c>
      <c r="AO83" s="252">
        <f t="shared" si="240"/>
        <v>0</v>
      </c>
      <c r="AP83" s="252">
        <f t="shared" si="240"/>
        <v>0</v>
      </c>
      <c r="AQ83" s="259">
        <f t="shared" si="240"/>
        <v>0</v>
      </c>
      <c r="AR83" s="252">
        <f t="shared" si="240"/>
        <v>0</v>
      </c>
      <c r="AS83" s="252">
        <f t="shared" si="240"/>
        <v>0</v>
      </c>
      <c r="AT83" s="252">
        <f t="shared" si="240"/>
        <v>0</v>
      </c>
      <c r="AU83" s="275">
        <f t="shared" si="240"/>
        <v>0</v>
      </c>
      <c r="AV83" s="252">
        <f t="shared" si="240"/>
        <v>0</v>
      </c>
      <c r="AW83" s="252">
        <f t="shared" si="240"/>
        <v>0</v>
      </c>
      <c r="AX83" s="267">
        <f t="shared" si="240"/>
        <v>0</v>
      </c>
      <c r="AY83" s="259">
        <f t="shared" si="240"/>
        <v>0</v>
      </c>
      <c r="AZ83" s="252">
        <f t="shared" si="240"/>
        <v>0</v>
      </c>
      <c r="BA83" s="252">
        <f t="shared" si="240"/>
        <v>0</v>
      </c>
      <c r="BB83" s="252">
        <f t="shared" si="240"/>
        <v>0</v>
      </c>
      <c r="BC83" s="259">
        <f t="shared" si="240"/>
        <v>0</v>
      </c>
      <c r="BD83" s="252">
        <f t="shared" si="240"/>
        <v>0</v>
      </c>
      <c r="BE83" s="252">
        <f t="shared" si="240"/>
        <v>0</v>
      </c>
      <c r="BF83" s="252">
        <f t="shared" si="231"/>
        <v>0</v>
      </c>
      <c r="BG83" s="259">
        <f t="shared" si="231"/>
        <v>0</v>
      </c>
      <c r="BH83" s="252">
        <f t="shared" si="231"/>
        <v>0</v>
      </c>
      <c r="BI83" s="252">
        <f t="shared" si="231"/>
        <v>0</v>
      </c>
      <c r="BJ83" s="252">
        <f>BJ142+BJ184</f>
        <v>0</v>
      </c>
      <c r="BK83" s="619"/>
      <c r="BL83" s="121"/>
      <c r="BM83" s="121"/>
      <c r="BN83" s="121"/>
      <c r="BO83" s="122"/>
      <c r="BP83" s="123"/>
      <c r="BQ83" s="124"/>
      <c r="BR83" s="124"/>
      <c r="BS83" s="125"/>
      <c r="BT83" s="123"/>
      <c r="BU83" s="124"/>
      <c r="BV83" s="124"/>
      <c r="BW83" s="125"/>
      <c r="BX83" s="123"/>
      <c r="BY83" s="124"/>
      <c r="BZ83" s="124"/>
      <c r="CA83" s="124"/>
      <c r="CB83" s="123"/>
      <c r="CC83" s="124"/>
      <c r="CD83" s="124"/>
      <c r="CE83" s="124"/>
      <c r="CF83" s="123"/>
      <c r="CG83" s="124"/>
      <c r="CH83" s="124"/>
      <c r="CI83" s="124"/>
      <c r="CJ83" s="123"/>
      <c r="CK83" s="124"/>
      <c r="CL83" s="124"/>
      <c r="CM83" s="407"/>
      <c r="CN83" s="123"/>
      <c r="CO83" s="124"/>
      <c r="CP83" s="124"/>
      <c r="CQ83" s="124"/>
      <c r="CR83" s="473"/>
      <c r="CS83" s="124"/>
      <c r="CT83" s="124"/>
      <c r="CU83" s="124"/>
      <c r="CV83" s="123"/>
      <c r="CW83" s="124"/>
      <c r="CX83" s="124"/>
      <c r="CY83" s="124"/>
      <c r="CZ83" s="123"/>
      <c r="DA83" s="124"/>
      <c r="DB83" s="124"/>
      <c r="DC83" s="124"/>
      <c r="DD83" s="123"/>
      <c r="DE83" s="124"/>
      <c r="DF83" s="124"/>
      <c r="DG83" s="124"/>
      <c r="DH83" s="123"/>
      <c r="DI83" s="124"/>
      <c r="DJ83" s="124"/>
      <c r="DK83" s="124"/>
      <c r="DL83" s="123"/>
      <c r="DM83" s="124"/>
      <c r="DN83" s="124"/>
      <c r="DO83" s="124"/>
      <c r="DP83" s="123"/>
      <c r="DQ83" s="124"/>
      <c r="DR83" s="124"/>
      <c r="DS83" s="124"/>
      <c r="DT83" s="91"/>
      <c r="DU83" s="109"/>
      <c r="DV83" s="109"/>
      <c r="DW83" s="109"/>
      <c r="DX83" s="340"/>
      <c r="DY83" s="341"/>
      <c r="DZ83" s="109"/>
      <c r="EA83" s="109"/>
      <c r="EB83" s="340"/>
      <c r="EC83" s="341"/>
      <c r="ED83" s="109"/>
      <c r="EE83" s="109"/>
      <c r="EF83" s="109"/>
      <c r="EG83" s="341"/>
      <c r="EH83" s="109"/>
      <c r="EI83" s="109"/>
      <c r="EJ83" s="109"/>
      <c r="EK83" s="420"/>
      <c r="EL83" s="109"/>
      <c r="EM83" s="109"/>
      <c r="EN83" s="109"/>
      <c r="EO83" s="341"/>
      <c r="EP83" s="109"/>
      <c r="EQ83" s="109"/>
      <c r="ER83" s="109"/>
      <c r="ES83" s="420"/>
      <c r="ET83" s="109"/>
      <c r="EU83" s="109"/>
      <c r="EV83" s="109"/>
      <c r="EW83" s="341"/>
      <c r="EX83" s="109"/>
      <c r="EY83" s="109"/>
      <c r="EZ83" s="109"/>
      <c r="FA83" s="341"/>
      <c r="FB83" s="109"/>
      <c r="FC83" s="109"/>
      <c r="FD83" s="109"/>
      <c r="FE83" s="341"/>
      <c r="FF83" s="109"/>
      <c r="FG83" s="109"/>
      <c r="FH83" s="109"/>
      <c r="FI83" s="341"/>
      <c r="FJ83" s="109"/>
      <c r="FK83" s="109"/>
      <c r="FL83" s="109"/>
      <c r="FM83" s="63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</row>
    <row r="84" spans="1:202" ht="15.75">
      <c r="A84" s="116" t="s">
        <v>70</v>
      </c>
      <c r="B84" s="116" t="s">
        <v>135</v>
      </c>
      <c r="C84" s="252">
        <f aca="true" t="shared" si="241" ref="C84:AL84">C143+C185</f>
        <v>33.1404</v>
      </c>
      <c r="D84" s="252">
        <f t="shared" si="241"/>
        <v>4.5846</v>
      </c>
      <c r="E84" s="252">
        <f t="shared" si="241"/>
        <v>22.067380000000004</v>
      </c>
      <c r="F84" s="260">
        <f t="shared" si="241"/>
        <v>30.3981</v>
      </c>
      <c r="G84" s="259">
        <f t="shared" si="241"/>
        <v>13.9</v>
      </c>
      <c r="H84" s="252">
        <f t="shared" si="241"/>
        <v>12.700000000000001</v>
      </c>
      <c r="I84" s="252">
        <f t="shared" si="241"/>
        <v>7.1</v>
      </c>
      <c r="J84" s="260">
        <f t="shared" si="241"/>
        <v>47.39999999999999</v>
      </c>
      <c r="K84" s="259">
        <f t="shared" si="241"/>
        <v>41.8</v>
      </c>
      <c r="L84" s="252">
        <f t="shared" si="241"/>
        <v>2.700000000000003</v>
      </c>
      <c r="M84" s="252">
        <f t="shared" si="241"/>
        <v>12.299999999999997</v>
      </c>
      <c r="N84" s="260">
        <f t="shared" si="241"/>
        <v>33.7</v>
      </c>
      <c r="O84" s="259">
        <f t="shared" si="241"/>
        <v>41.82</v>
      </c>
      <c r="P84" s="252">
        <f t="shared" si="241"/>
        <v>2.479999999999997</v>
      </c>
      <c r="Q84" s="252">
        <f t="shared" si="241"/>
        <v>10.400000000000006</v>
      </c>
      <c r="R84" s="252">
        <f t="shared" si="241"/>
        <v>33.7</v>
      </c>
      <c r="S84" s="259">
        <f t="shared" si="241"/>
        <v>26.7</v>
      </c>
      <c r="T84" s="252">
        <f t="shared" si="241"/>
        <v>17.400000000000002</v>
      </c>
      <c r="U84" s="252">
        <f t="shared" si="241"/>
        <v>22.3</v>
      </c>
      <c r="V84" s="252">
        <f t="shared" si="241"/>
        <v>32.912774999999996</v>
      </c>
      <c r="W84" s="259">
        <f t="shared" si="241"/>
        <v>33.2042</v>
      </c>
      <c r="X84" s="252">
        <f t="shared" si="241"/>
        <v>18.476399999999998</v>
      </c>
      <c r="Y84" s="252">
        <f t="shared" si="241"/>
        <v>4.119399999999999</v>
      </c>
      <c r="Z84" s="252">
        <f t="shared" si="241"/>
        <v>32.400000000000006</v>
      </c>
      <c r="AA84" s="259">
        <f t="shared" si="241"/>
        <v>18.891</v>
      </c>
      <c r="AB84" s="252">
        <f t="shared" si="241"/>
        <v>6.511700000000001</v>
      </c>
      <c r="AC84" s="252">
        <f t="shared" si="241"/>
        <v>22.097299999999997</v>
      </c>
      <c r="AD84" s="252">
        <f t="shared" si="241"/>
        <v>8.942000000000002</v>
      </c>
      <c r="AE84" s="259">
        <f t="shared" si="241"/>
        <v>14.840800000000002</v>
      </c>
      <c r="AF84" s="252">
        <f t="shared" si="241"/>
        <v>10.355900000000002</v>
      </c>
      <c r="AG84" s="252">
        <f t="shared" si="241"/>
        <v>7.090099999999996</v>
      </c>
      <c r="AH84" s="267">
        <f t="shared" si="241"/>
        <v>42.71600000000001</v>
      </c>
      <c r="AI84" s="275">
        <f t="shared" si="241"/>
        <v>133.429356</v>
      </c>
      <c r="AJ84" s="252">
        <f t="shared" si="241"/>
        <v>151.870644</v>
      </c>
      <c r="AK84" s="252">
        <f t="shared" si="241"/>
        <v>163.4600560000001</v>
      </c>
      <c r="AL84" s="252">
        <f t="shared" si="241"/>
        <v>226.21190399999995</v>
      </c>
      <c r="AM84" s="275">
        <f aca="true" t="shared" si="242" ref="AM84:BE84">AM143+AM185</f>
        <v>113.19069999999999</v>
      </c>
      <c r="AN84" s="252">
        <f t="shared" si="242"/>
        <v>15.526599999999977</v>
      </c>
      <c r="AO84" s="252">
        <f t="shared" si="242"/>
        <v>30.977900000000005</v>
      </c>
      <c r="AP84" s="252">
        <f t="shared" si="242"/>
        <v>30.33244</v>
      </c>
      <c r="AQ84" s="259">
        <f t="shared" si="242"/>
        <v>36.628800000000005</v>
      </c>
      <c r="AR84" s="252">
        <f t="shared" si="242"/>
        <v>21.622109999999985</v>
      </c>
      <c r="AS84" s="252">
        <f t="shared" si="242"/>
        <v>31.381800000000013</v>
      </c>
      <c r="AT84" s="252">
        <f t="shared" si="242"/>
        <v>43.78313</v>
      </c>
      <c r="AU84" s="275">
        <f t="shared" si="242"/>
        <v>27.92525</v>
      </c>
      <c r="AV84" s="252">
        <f t="shared" si="242"/>
        <v>32.46645</v>
      </c>
      <c r="AW84" s="252">
        <f t="shared" si="242"/>
        <v>23.50285000000001</v>
      </c>
      <c r="AX84" s="267">
        <f t="shared" si="242"/>
        <v>51.87130999999998</v>
      </c>
      <c r="AY84" s="259">
        <f t="shared" si="242"/>
        <v>26.595489999999998</v>
      </c>
      <c r="AZ84" s="252">
        <f t="shared" si="242"/>
        <v>68.48313</v>
      </c>
      <c r="BA84" s="252">
        <f t="shared" si="242"/>
        <v>52.04202</v>
      </c>
      <c r="BB84" s="252">
        <f t="shared" si="242"/>
        <v>71.43455999999998</v>
      </c>
      <c r="BC84" s="259">
        <f t="shared" si="242"/>
        <v>28.72587</v>
      </c>
      <c r="BD84" s="252">
        <f t="shared" si="242"/>
        <v>19.955000000000002</v>
      </c>
      <c r="BE84" s="252">
        <f t="shared" si="242"/>
        <v>59.944594</v>
      </c>
      <c r="BF84" s="252">
        <f t="shared" si="231"/>
        <v>27.08330000000001</v>
      </c>
      <c r="BG84" s="259">
        <f t="shared" si="231"/>
        <v>12.9374</v>
      </c>
      <c r="BH84" s="252">
        <f t="shared" si="231"/>
        <v>8.799800000000001</v>
      </c>
      <c r="BI84" s="252">
        <f t="shared" si="231"/>
        <v>48.969049999999996</v>
      </c>
      <c r="BJ84" s="252">
        <f>BJ143+BJ185</f>
        <v>9.423000000000002</v>
      </c>
      <c r="BK84" s="619"/>
      <c r="BL84" s="121">
        <f aca="true" t="shared" si="243" ref="BL84:CU84">BL143+BL185</f>
        <v>30.6333</v>
      </c>
      <c r="BM84" s="121">
        <f t="shared" si="243"/>
        <v>9.801699999999999</v>
      </c>
      <c r="BN84" s="121">
        <f t="shared" si="243"/>
        <v>16.371679999999998</v>
      </c>
      <c r="BO84" s="122">
        <f t="shared" si="243"/>
        <v>35.7161</v>
      </c>
      <c r="BP84" s="123">
        <f t="shared" si="243"/>
        <v>14.2</v>
      </c>
      <c r="BQ84" s="124">
        <f t="shared" si="243"/>
        <v>12.653000000000002</v>
      </c>
      <c r="BR84" s="124">
        <f t="shared" si="243"/>
        <v>2.9469999999999987</v>
      </c>
      <c r="BS84" s="125">
        <f t="shared" si="243"/>
        <v>44.3</v>
      </c>
      <c r="BT84" s="123">
        <f t="shared" si="243"/>
        <v>47.3</v>
      </c>
      <c r="BU84" s="124">
        <f t="shared" si="243"/>
        <v>4.300000000000004</v>
      </c>
      <c r="BV84" s="124">
        <f t="shared" si="243"/>
        <v>7.399999999999999</v>
      </c>
      <c r="BW84" s="125">
        <f t="shared" si="243"/>
        <v>34.505999999999986</v>
      </c>
      <c r="BX84" s="123">
        <f t="shared" si="243"/>
        <v>45.9</v>
      </c>
      <c r="BY84" s="124">
        <f t="shared" si="243"/>
        <v>2.24991</v>
      </c>
      <c r="BZ84" s="124">
        <f t="shared" si="243"/>
        <v>8.75009</v>
      </c>
      <c r="CA84" s="124">
        <f t="shared" si="243"/>
        <v>34.300000000000004</v>
      </c>
      <c r="CB84" s="123">
        <f t="shared" si="243"/>
        <v>27.9</v>
      </c>
      <c r="CC84" s="124">
        <f t="shared" si="243"/>
        <v>12.600000000000001</v>
      </c>
      <c r="CD84" s="124">
        <f t="shared" si="243"/>
        <v>25.799999999999997</v>
      </c>
      <c r="CE84" s="124">
        <f t="shared" si="243"/>
        <v>33.3</v>
      </c>
      <c r="CF84" s="123">
        <f t="shared" si="243"/>
        <v>34.1077</v>
      </c>
      <c r="CG84" s="124">
        <f t="shared" si="243"/>
        <v>18.3669</v>
      </c>
      <c r="CH84" s="124">
        <f t="shared" si="243"/>
        <v>4.125399999999999</v>
      </c>
      <c r="CI84" s="124">
        <f t="shared" si="243"/>
        <v>32.4</v>
      </c>
      <c r="CJ84" s="123">
        <f t="shared" si="243"/>
        <v>17.8215</v>
      </c>
      <c r="CK84" s="124">
        <f t="shared" si="243"/>
        <v>7.552599999999998</v>
      </c>
      <c r="CL84" s="124">
        <f t="shared" si="243"/>
        <v>13.725900000000003</v>
      </c>
      <c r="CM84" s="407">
        <f t="shared" si="243"/>
        <v>16.446</v>
      </c>
      <c r="CN84" s="123">
        <f t="shared" si="243"/>
        <v>13.67706</v>
      </c>
      <c r="CO84" s="124">
        <f t="shared" si="243"/>
        <v>8.713494999999998</v>
      </c>
      <c r="CP84" s="124">
        <f t="shared" si="243"/>
        <v>10.692245000000003</v>
      </c>
      <c r="CQ84" s="124">
        <f t="shared" si="243"/>
        <v>38.116</v>
      </c>
      <c r="CR84" s="473">
        <f t="shared" si="243"/>
        <v>132.867556</v>
      </c>
      <c r="CS84" s="124">
        <f t="shared" si="243"/>
        <v>156.4685</v>
      </c>
      <c r="CT84" s="124">
        <f t="shared" si="243"/>
        <v>157.07549999999995</v>
      </c>
      <c r="CU84" s="124">
        <f t="shared" si="243"/>
        <v>220.20070399999997</v>
      </c>
      <c r="CV84" s="123">
        <f aca="true" t="shared" si="244" ref="CV84:DA84">CV143+CV185</f>
        <v>125.1888</v>
      </c>
      <c r="CW84" s="124">
        <f t="shared" si="244"/>
        <v>16.56939999999999</v>
      </c>
      <c r="CX84" s="124">
        <f t="shared" si="244"/>
        <v>30.98250000000003</v>
      </c>
      <c r="CY84" s="124">
        <f t="shared" si="244"/>
        <v>30.20994000000001</v>
      </c>
      <c r="CZ84" s="123">
        <f t="shared" si="244"/>
        <v>36.266299999999994</v>
      </c>
      <c r="DA84" s="124">
        <f t="shared" si="244"/>
        <v>22.16340000000001</v>
      </c>
      <c r="DB84" s="124">
        <f aca="true" t="shared" si="245" ref="DB84:DG84">DB143+DB185</f>
        <v>29.248399999999997</v>
      </c>
      <c r="DC84" s="124">
        <f t="shared" si="245"/>
        <v>41.67837</v>
      </c>
      <c r="DD84" s="123">
        <f t="shared" si="245"/>
        <v>32.16337</v>
      </c>
      <c r="DE84" s="124">
        <f t="shared" si="245"/>
        <v>32.466449999999995</v>
      </c>
      <c r="DF84" s="124">
        <f t="shared" si="245"/>
        <v>22.198510000000013</v>
      </c>
      <c r="DG84" s="124">
        <f t="shared" si="245"/>
        <v>53.175650000000005</v>
      </c>
      <c r="DH84" s="123">
        <f aca="true" t="shared" si="246" ref="DH84:DM84">DH143+DH185</f>
        <v>23.56463</v>
      </c>
      <c r="DI84" s="124">
        <f t="shared" si="246"/>
        <v>68.91245999999998</v>
      </c>
      <c r="DJ84" s="124">
        <f t="shared" si="246"/>
        <v>54.643550000000005</v>
      </c>
      <c r="DK84" s="124">
        <f t="shared" si="246"/>
        <v>69.72906</v>
      </c>
      <c r="DL84" s="123">
        <f t="shared" si="246"/>
        <v>30.431369999999998</v>
      </c>
      <c r="DM84" s="124">
        <f t="shared" si="246"/>
        <v>30.906869999999998</v>
      </c>
      <c r="DN84" s="124">
        <f aca="true" t="shared" si="247" ref="DN84:DS84">DN143+DN185</f>
        <v>23.575234</v>
      </c>
      <c r="DO84" s="124">
        <f t="shared" si="247"/>
        <v>52.12050000000001</v>
      </c>
      <c r="DP84" s="123">
        <f t="shared" si="247"/>
        <v>12.9374</v>
      </c>
      <c r="DQ84" s="124">
        <f t="shared" si="247"/>
        <v>8.7998</v>
      </c>
      <c r="DR84" s="124">
        <f t="shared" si="247"/>
        <v>45.287099999999995</v>
      </c>
      <c r="DS84" s="124">
        <f t="shared" si="247"/>
        <v>13.10495000000001</v>
      </c>
      <c r="DT84" s="91"/>
      <c r="DU84" s="109">
        <v>28.9</v>
      </c>
      <c r="DV84" s="109">
        <v>12.600000000000001</v>
      </c>
      <c r="DW84" s="109">
        <v>27.900000000000006</v>
      </c>
      <c r="DX84" s="340">
        <v>37.3</v>
      </c>
      <c r="DY84" s="341">
        <v>34.107</v>
      </c>
      <c r="DZ84" s="109">
        <f>FQ84-DY84</f>
        <v>18.114999999999995</v>
      </c>
      <c r="EA84" s="109">
        <f>FR84-FQ84</f>
        <v>4.372</v>
      </c>
      <c r="EB84" s="340">
        <f>FS84-FR84</f>
        <v>32.206</v>
      </c>
      <c r="EC84" s="341">
        <v>17.963</v>
      </c>
      <c r="ED84" s="109">
        <f>FT84-EC84</f>
        <v>7.178999999999995</v>
      </c>
      <c r="EE84" s="109">
        <f>FU84-EC84-ED84</f>
        <v>14.146000000000008</v>
      </c>
      <c r="EF84" s="109">
        <f>FV84-EE84-ED84-EC84</f>
        <v>16.327000000000005</v>
      </c>
      <c r="EG84" s="341">
        <v>14.850099999999996</v>
      </c>
      <c r="EH84" s="109">
        <f>FW84-EG84</f>
        <v>21.9709</v>
      </c>
      <c r="EI84" s="109">
        <f>FX84-EH84-EG84</f>
        <v>25.887900000000002</v>
      </c>
      <c r="EJ84" s="109">
        <f>FY84-EI84-EH84-EG84</f>
        <v>44.024899999999974</v>
      </c>
      <c r="EK84" s="420">
        <v>133.411</v>
      </c>
      <c r="EL84" s="109">
        <f>FZ84-EK84</f>
        <v>162.9269999999999</v>
      </c>
      <c r="EM84" s="109">
        <f>GA84-EL84-EK84</f>
        <v>163.2033</v>
      </c>
      <c r="EN84" s="109">
        <f>GB84-EM84-EL84-EK84</f>
        <v>225.4676</v>
      </c>
      <c r="EO84" s="341">
        <v>131.6939</v>
      </c>
      <c r="EP84" s="109">
        <f>GC84-EO84</f>
        <v>22.62099999999998</v>
      </c>
      <c r="EQ84" s="109">
        <f>GD84-GC84</f>
        <v>38.29000000000005</v>
      </c>
      <c r="ER84" s="109">
        <f>GE84-GD84</f>
        <v>36.799999999999955</v>
      </c>
      <c r="ES84" s="420">
        <v>38.5115</v>
      </c>
      <c r="ET84" s="109">
        <f>GF84-ES84</f>
        <v>15.559460000000009</v>
      </c>
      <c r="EU84" s="109">
        <f>GG84-ET84-ES84</f>
        <v>41.968911999999975</v>
      </c>
      <c r="EV84" s="109">
        <f>GH84-GG84</f>
        <v>27.310186000000016</v>
      </c>
      <c r="EW84" s="341">
        <v>48.14832200000001</v>
      </c>
      <c r="EX84" s="109">
        <f>GI84-EW84</f>
        <v>32.99393999999998</v>
      </c>
      <c r="EY84" s="109">
        <f>GJ84-EX84-EW84</f>
        <v>16.149010000000004</v>
      </c>
      <c r="EZ84" s="109">
        <f>GK84-GJ84</f>
        <v>32.66327300000003</v>
      </c>
      <c r="FA84" s="341">
        <v>17.842340000000004</v>
      </c>
      <c r="FB84" s="109">
        <f>GL84-FA84</f>
        <v>46.38656500000002</v>
      </c>
      <c r="FC84" s="109">
        <f>GM84-GL84</f>
        <v>75.91252499999996</v>
      </c>
      <c r="FD84" s="109">
        <f>GN84-GM84</f>
        <v>81.927133</v>
      </c>
      <c r="FE84" s="341">
        <v>54.500600000000006</v>
      </c>
      <c r="FF84" s="109">
        <f>GO84-FE84</f>
        <v>7.699999999999996</v>
      </c>
      <c r="FG84" s="109">
        <f>GP84-GO84</f>
        <v>32.687394000000005</v>
      </c>
      <c r="FH84" s="109">
        <f>GQ84-GP84</f>
        <v>55.3617</v>
      </c>
      <c r="FI84" s="341">
        <v>10.634732</v>
      </c>
      <c r="FJ84" s="109">
        <f>GR84-FI84</f>
        <v>8.799800000000001</v>
      </c>
      <c r="FK84" s="109">
        <f>GS84-GR84</f>
        <v>45.287099999999995</v>
      </c>
      <c r="FL84" s="109">
        <f>GT84-GS84</f>
        <v>13.104950000000002</v>
      </c>
      <c r="FM84" s="63"/>
      <c r="FN84" s="110">
        <f aca="true" t="shared" si="248" ref="FN84:FW84">FN32</f>
        <v>41.5</v>
      </c>
      <c r="FO84" s="110">
        <f t="shared" si="248"/>
        <v>69.4</v>
      </c>
      <c r="FP84" s="110">
        <f t="shared" si="248"/>
        <v>106.7</v>
      </c>
      <c r="FQ84" s="110">
        <f t="shared" si="248"/>
        <v>52.221999999999994</v>
      </c>
      <c r="FR84" s="110">
        <f t="shared" si="248"/>
        <v>56.593999999999994</v>
      </c>
      <c r="FS84" s="110">
        <f t="shared" si="248"/>
        <v>88.8</v>
      </c>
      <c r="FT84" s="110">
        <f t="shared" si="248"/>
        <v>25.141999999999996</v>
      </c>
      <c r="FU84" s="110">
        <f t="shared" si="248"/>
        <v>39.288000000000004</v>
      </c>
      <c r="FV84" s="110">
        <f t="shared" si="248"/>
        <v>55.61500000000001</v>
      </c>
      <c r="FW84" s="110">
        <f t="shared" si="248"/>
        <v>36.821</v>
      </c>
      <c r="FX84" s="110">
        <v>62.7089</v>
      </c>
      <c r="FY84" s="110">
        <v>106.73379999999997</v>
      </c>
      <c r="FZ84" s="110">
        <v>296.3379999999999</v>
      </c>
      <c r="GA84" s="110">
        <v>459.5412999999999</v>
      </c>
      <c r="GB84" s="110">
        <v>685.0088999999999</v>
      </c>
      <c r="GC84" s="110">
        <v>154.3149</v>
      </c>
      <c r="GD84" s="110">
        <v>192.60490000000004</v>
      </c>
      <c r="GE84" s="110">
        <v>229.4049</v>
      </c>
      <c r="GF84" s="110">
        <v>54.07096000000001</v>
      </c>
      <c r="GG84" s="110">
        <v>96.03987199999999</v>
      </c>
      <c r="GH84" s="110">
        <v>123.350058</v>
      </c>
      <c r="GI84" s="110">
        <v>81.14226199999999</v>
      </c>
      <c r="GJ84" s="110">
        <v>97.29127199999999</v>
      </c>
      <c r="GK84" s="110">
        <v>129.95454500000002</v>
      </c>
      <c r="GL84" s="110">
        <v>64.22890500000003</v>
      </c>
      <c r="GM84" s="110">
        <v>140.14142999999999</v>
      </c>
      <c r="GN84" s="110">
        <v>222.06856299999998</v>
      </c>
      <c r="GO84" s="110">
        <v>62.2006</v>
      </c>
      <c r="GP84" s="110">
        <v>94.887994</v>
      </c>
      <c r="GQ84" s="110">
        <v>150.249694</v>
      </c>
      <c r="GR84" s="110">
        <v>19.434532</v>
      </c>
      <c r="GS84" s="110">
        <v>64.721632</v>
      </c>
      <c r="GT84" s="110">
        <v>77.826582</v>
      </c>
    </row>
    <row r="85" spans="1:202" ht="15.75">
      <c r="A85" s="70" t="s">
        <v>137</v>
      </c>
      <c r="B85" s="70" t="s">
        <v>72</v>
      </c>
      <c r="C85" s="254">
        <f>C87+C89+C93</f>
        <v>82.510594</v>
      </c>
      <c r="D85" s="254">
        <f aca="true" t="shared" si="249" ref="D85:AF85">D87+D89+D93</f>
        <v>81.567406</v>
      </c>
      <c r="E85" s="254">
        <f t="shared" si="249"/>
        <v>89.56947299999999</v>
      </c>
      <c r="F85" s="255">
        <f t="shared" si="249"/>
        <v>101.717479</v>
      </c>
      <c r="G85" s="253">
        <f t="shared" si="249"/>
        <v>90.9</v>
      </c>
      <c r="H85" s="254">
        <f t="shared" si="249"/>
        <v>85.758308</v>
      </c>
      <c r="I85" s="254">
        <f t="shared" si="249"/>
        <v>85.64169199999999</v>
      </c>
      <c r="J85" s="255">
        <f t="shared" si="249"/>
        <v>108.70000000000002</v>
      </c>
      <c r="K85" s="253">
        <f t="shared" si="249"/>
        <v>94.55189000000001</v>
      </c>
      <c r="L85" s="254">
        <f t="shared" si="249"/>
        <v>93.78983</v>
      </c>
      <c r="M85" s="254">
        <f t="shared" si="249"/>
        <v>108.86474000000001</v>
      </c>
      <c r="N85" s="255">
        <f t="shared" si="249"/>
        <v>101.41126499999996</v>
      </c>
      <c r="O85" s="253">
        <f t="shared" si="249"/>
        <v>90.40599</v>
      </c>
      <c r="P85" s="254">
        <f t="shared" si="249"/>
        <v>105.189935</v>
      </c>
      <c r="Q85" s="254">
        <f t="shared" si="249"/>
        <v>99.932981</v>
      </c>
      <c r="R85" s="254">
        <f t="shared" si="249"/>
        <v>93.68044</v>
      </c>
      <c r="S85" s="253">
        <f t="shared" si="249"/>
        <v>98.30000000000001</v>
      </c>
      <c r="T85" s="254">
        <f t="shared" si="249"/>
        <v>93.156407</v>
      </c>
      <c r="U85" s="254">
        <f t="shared" si="249"/>
        <v>98.40217999999999</v>
      </c>
      <c r="V85" s="254">
        <f t="shared" si="249"/>
        <v>92.59635</v>
      </c>
      <c r="W85" s="253">
        <f t="shared" si="249"/>
        <v>89.44163</v>
      </c>
      <c r="X85" s="254">
        <f t="shared" si="249"/>
        <v>94.07136499999999</v>
      </c>
      <c r="Y85" s="254">
        <f t="shared" si="249"/>
        <v>114.187005</v>
      </c>
      <c r="Z85" s="254">
        <f t="shared" si="249"/>
        <v>103.10000000000001</v>
      </c>
      <c r="AA85" s="253">
        <f t="shared" si="249"/>
        <v>124.527267</v>
      </c>
      <c r="AB85" s="254">
        <f t="shared" si="249"/>
        <v>113.101298</v>
      </c>
      <c r="AC85" s="254">
        <f t="shared" si="249"/>
        <v>102.32509</v>
      </c>
      <c r="AD85" s="254">
        <f t="shared" si="249"/>
        <v>106.90225099999999</v>
      </c>
      <c r="AE85" s="253">
        <f t="shared" si="249"/>
        <v>85.803133</v>
      </c>
      <c r="AF85" s="254">
        <f t="shared" si="249"/>
        <v>91.38622999999998</v>
      </c>
      <c r="AG85" s="254">
        <f aca="true" t="shared" si="250" ref="AG85:AI86">AG87+AG89+AG93</f>
        <v>103.55230400000002</v>
      </c>
      <c r="AH85" s="269">
        <f t="shared" si="250"/>
        <v>105.492864</v>
      </c>
      <c r="AI85" s="464">
        <f t="shared" si="250"/>
        <v>111.383444</v>
      </c>
      <c r="AJ85" s="254">
        <f aca="true" t="shared" si="251" ref="AJ85:AM86">AJ87+AJ89+AJ93</f>
        <v>105.51655600000001</v>
      </c>
      <c r="AK85" s="254">
        <f t="shared" si="251"/>
        <v>111.01821399999997</v>
      </c>
      <c r="AL85" s="254">
        <f t="shared" si="251"/>
        <v>116.69948700000003</v>
      </c>
      <c r="AM85" s="464">
        <f t="shared" si="251"/>
        <v>115.006534</v>
      </c>
      <c r="AN85" s="254">
        <f aca="true" t="shared" si="252" ref="AN85:AP86">AN87+AN89+AN93</f>
        <v>119.566107</v>
      </c>
      <c r="AO85" s="254">
        <f t="shared" si="252"/>
        <v>124.758961</v>
      </c>
      <c r="AP85" s="254">
        <f t="shared" si="252"/>
        <v>115.79859499999996</v>
      </c>
      <c r="AQ85" s="253">
        <f aca="true" t="shared" si="253" ref="AQ85:AU86">AQ87+AQ89+AQ93</f>
        <v>123.69711799999999</v>
      </c>
      <c r="AR85" s="254">
        <f t="shared" si="253"/>
        <v>117.87319600000001</v>
      </c>
      <c r="AS85" s="254">
        <f t="shared" si="253"/>
        <v>128.627318</v>
      </c>
      <c r="AT85" s="254">
        <f>AT87+AT89+AT93</f>
        <v>115.117177</v>
      </c>
      <c r="AU85" s="464">
        <f t="shared" si="253"/>
        <v>112.23614400000001</v>
      </c>
      <c r="AV85" s="254">
        <f aca="true" t="shared" si="254" ref="AV85:AX86">AV87+AV89+AV93</f>
        <v>74.382844</v>
      </c>
      <c r="AW85" s="254">
        <f t="shared" si="254"/>
        <v>120.88039999999998</v>
      </c>
      <c r="AX85" s="269">
        <f t="shared" si="254"/>
        <v>115.44905999999996</v>
      </c>
      <c r="AY85" s="253">
        <f aca="true" t="shared" si="255" ref="AY85:BA86">AY87+AY89+AY93</f>
        <v>118.03088</v>
      </c>
      <c r="AZ85" s="254">
        <f t="shared" si="255"/>
        <v>122.51056</v>
      </c>
      <c r="BA85" s="254">
        <f t="shared" si="255"/>
        <v>126.44011</v>
      </c>
      <c r="BB85" s="254">
        <f aca="true" t="shared" si="256" ref="BB85:BD86">BB87+BB89+BB93</f>
        <v>107.04751000000003</v>
      </c>
      <c r="BC85" s="253">
        <f t="shared" si="256"/>
        <v>111.35646</v>
      </c>
      <c r="BD85" s="254">
        <f t="shared" si="256"/>
        <v>104.21073099999998</v>
      </c>
      <c r="BE85" s="254">
        <f aca="true" t="shared" si="257" ref="BE85:BH86">BE87+BE89+BE93</f>
        <v>82.68150400000002</v>
      </c>
      <c r="BF85" s="254">
        <f t="shared" si="257"/>
        <v>89.49348999999998</v>
      </c>
      <c r="BG85" s="253">
        <f t="shared" si="257"/>
        <v>87.64099</v>
      </c>
      <c r="BH85" s="254">
        <f t="shared" si="257"/>
        <v>91.48070800000002</v>
      </c>
      <c r="BI85" s="254">
        <f>BI87+BI89+BI93</f>
        <v>105.97518000000001</v>
      </c>
      <c r="BJ85" s="254">
        <f>BJ87+BJ89+BJ93</f>
        <v>103.11103699999998</v>
      </c>
      <c r="BK85" s="619"/>
      <c r="BL85" s="89">
        <f aca="true" t="shared" si="258" ref="BL85:CN85">BL87+BL89+BL93</f>
        <v>40.01458699999999</v>
      </c>
      <c r="BM85" s="89">
        <f t="shared" si="258"/>
        <v>36.66636200000001</v>
      </c>
      <c r="BN85" s="89">
        <f t="shared" si="258"/>
        <v>44.70945549999999</v>
      </c>
      <c r="BO85" s="90">
        <f t="shared" si="258"/>
        <v>51.39491050000002</v>
      </c>
      <c r="BP85" s="88">
        <f t="shared" si="258"/>
        <v>44.2</v>
      </c>
      <c r="BQ85" s="89">
        <f t="shared" si="258"/>
        <v>44.365907</v>
      </c>
      <c r="BR85" s="89">
        <f t="shared" si="258"/>
        <v>40.434093000000004</v>
      </c>
      <c r="BS85" s="90">
        <f t="shared" si="258"/>
        <v>53.49999999999998</v>
      </c>
      <c r="BT85" s="88">
        <f t="shared" si="258"/>
        <v>45.16372</v>
      </c>
      <c r="BU85" s="89">
        <f t="shared" si="258"/>
        <v>45.571526500000004</v>
      </c>
      <c r="BV85" s="89">
        <f t="shared" si="258"/>
        <v>50.66475350000001</v>
      </c>
      <c r="BW85" s="90">
        <f t="shared" si="258"/>
        <v>48.64699999999997</v>
      </c>
      <c r="BX85" s="88">
        <f t="shared" si="258"/>
        <v>42.9</v>
      </c>
      <c r="BY85" s="89">
        <f t="shared" si="258"/>
        <v>49.867586</v>
      </c>
      <c r="BZ85" s="89">
        <f t="shared" si="258"/>
        <v>48.53241399999999</v>
      </c>
      <c r="CA85" s="89">
        <f t="shared" si="258"/>
        <v>45.40040450000001</v>
      </c>
      <c r="CB85" s="88">
        <f t="shared" si="258"/>
        <v>49</v>
      </c>
      <c r="CC85" s="89">
        <f t="shared" si="258"/>
        <v>45.5</v>
      </c>
      <c r="CD85" s="89">
        <f t="shared" si="258"/>
        <v>49.0129015</v>
      </c>
      <c r="CE85" s="89">
        <f t="shared" si="258"/>
        <v>48.91953850000001</v>
      </c>
      <c r="CF85" s="88">
        <f t="shared" si="258"/>
        <v>43.986016</v>
      </c>
      <c r="CG85" s="89">
        <f t="shared" si="258"/>
        <v>46.2300885</v>
      </c>
      <c r="CH85" s="89">
        <f t="shared" si="258"/>
        <v>55.88389549999998</v>
      </c>
      <c r="CI85" s="89">
        <f t="shared" si="258"/>
        <v>48.7</v>
      </c>
      <c r="CJ85" s="88">
        <f t="shared" si="258"/>
        <v>59.7062015</v>
      </c>
      <c r="CK85" s="89">
        <f t="shared" si="258"/>
        <v>53.000940499999906</v>
      </c>
      <c r="CL85" s="89">
        <f t="shared" si="258"/>
        <v>49.93132750000008</v>
      </c>
      <c r="CM85" s="404">
        <f t="shared" si="258"/>
        <v>51.430501000000305</v>
      </c>
      <c r="CN85" s="88">
        <f t="shared" si="258"/>
        <v>40.4945445</v>
      </c>
      <c r="CO85" s="89">
        <f aca="true" t="shared" si="259" ref="CO85:CT85">CO87+CO89+CO93</f>
        <v>43.132528</v>
      </c>
      <c r="CP85" s="89">
        <f t="shared" si="259"/>
        <v>49.4519095</v>
      </c>
      <c r="CQ85" s="89">
        <f t="shared" si="259"/>
        <v>53.728033499999995</v>
      </c>
      <c r="CR85" s="470">
        <f t="shared" si="259"/>
        <v>56.64543200000001</v>
      </c>
      <c r="CS85" s="89">
        <f t="shared" si="259"/>
        <v>52.6567995</v>
      </c>
      <c r="CT85" s="89">
        <f t="shared" si="259"/>
        <v>54.61067999999999</v>
      </c>
      <c r="CU85" s="89">
        <f aca="true" t="shared" si="260" ref="CU85:CZ85">CU87+CU89+CU93</f>
        <v>58.76340000000001</v>
      </c>
      <c r="CV85" s="88">
        <f t="shared" si="260"/>
        <v>59.29905099999999</v>
      </c>
      <c r="CW85" s="89">
        <f t="shared" si="260"/>
        <v>59.367949000000024</v>
      </c>
      <c r="CX85" s="89">
        <f t="shared" si="260"/>
        <v>59.52960599999997</v>
      </c>
      <c r="CY85" s="89">
        <f t="shared" si="260"/>
        <v>58.27742700000003</v>
      </c>
      <c r="CZ85" s="88">
        <f t="shared" si="260"/>
        <v>59.504673499999996</v>
      </c>
      <c r="DA85" s="89">
        <f aca="true" t="shared" si="261" ref="DA85:DF85">DA87+DA89+DA93</f>
        <v>58.546515</v>
      </c>
      <c r="DB85" s="89">
        <f t="shared" si="261"/>
        <v>61.118562999999966</v>
      </c>
      <c r="DC85" s="89">
        <f t="shared" si="261"/>
        <v>58.008076500000016</v>
      </c>
      <c r="DD85" s="88">
        <f t="shared" si="261"/>
        <v>57.076285999999996</v>
      </c>
      <c r="DE85" s="89">
        <f t="shared" si="261"/>
        <v>36.26519450000001</v>
      </c>
      <c r="DF85" s="89">
        <f t="shared" si="261"/>
        <v>59.886631499999986</v>
      </c>
      <c r="DG85" s="89">
        <f aca="true" t="shared" si="262" ref="DG85:DL85">DG87+DG89+DG93</f>
        <v>57.39355700000002</v>
      </c>
      <c r="DH85" s="88">
        <f t="shared" si="262"/>
        <v>56.2682255</v>
      </c>
      <c r="DI85" s="89">
        <f t="shared" si="262"/>
        <v>59.148064</v>
      </c>
      <c r="DJ85" s="89">
        <f t="shared" si="262"/>
        <v>59.622940500000006</v>
      </c>
      <c r="DK85" s="89">
        <f t="shared" si="262"/>
        <v>52.43411600000003</v>
      </c>
      <c r="DL85" s="88">
        <f t="shared" si="262"/>
        <v>54.3298845</v>
      </c>
      <c r="DM85" s="89">
        <f aca="true" t="shared" si="263" ref="DM85:DR85">DM87+DM89+DM93</f>
        <v>49.7503595</v>
      </c>
      <c r="DN85" s="89">
        <f t="shared" si="263"/>
        <v>40.62322400000001</v>
      </c>
      <c r="DO85" s="89">
        <f t="shared" si="263"/>
        <v>44.63405200000001</v>
      </c>
      <c r="DP85" s="88">
        <f t="shared" si="263"/>
        <v>41.602466</v>
      </c>
      <c r="DQ85" s="89">
        <f t="shared" si="263"/>
        <v>43.49200449999999</v>
      </c>
      <c r="DR85" s="89">
        <f t="shared" si="263"/>
        <v>49.0788555</v>
      </c>
      <c r="DS85" s="89">
        <f>DS87+DS89+DS93</f>
        <v>48.19497700000001</v>
      </c>
      <c r="DT85" s="91"/>
      <c r="DU85" s="92">
        <f aca="true" t="shared" si="264" ref="DU85:EA85">DU87+DU89+DU93</f>
        <v>49</v>
      </c>
      <c r="DV85" s="92">
        <f t="shared" si="264"/>
        <v>45.5</v>
      </c>
      <c r="DW85" s="92">
        <f t="shared" si="264"/>
        <v>49.00000000000001</v>
      </c>
      <c r="DX85" s="338">
        <f t="shared" si="264"/>
        <v>48.98</v>
      </c>
      <c r="DY85" s="339">
        <f t="shared" si="264"/>
        <v>43.98601599999999</v>
      </c>
      <c r="DZ85" s="92">
        <f t="shared" si="264"/>
        <v>46.23008849999985</v>
      </c>
      <c r="EA85" s="92">
        <f t="shared" si="264"/>
        <v>55.952508999999544</v>
      </c>
      <c r="EB85" s="338">
        <f aca="true" t="shared" si="265" ref="EB85:EI85">EB87+EB89+EB93</f>
        <v>48.631386500000595</v>
      </c>
      <c r="EC85" s="339">
        <f t="shared" si="265"/>
        <v>59.706202500000174</v>
      </c>
      <c r="ED85" s="92">
        <f t="shared" si="265"/>
        <v>53.0009394999998</v>
      </c>
      <c r="EE85" s="92">
        <f t="shared" si="265"/>
        <v>49.931335000000274</v>
      </c>
      <c r="EF85" s="92">
        <f t="shared" si="265"/>
        <v>51.4304934999995</v>
      </c>
      <c r="EG85" s="339">
        <f t="shared" si="265"/>
        <v>40.494544499999996</v>
      </c>
      <c r="EH85" s="92">
        <f t="shared" si="265"/>
        <v>43.13252800000021</v>
      </c>
      <c r="EI85" s="92">
        <f t="shared" si="265"/>
        <v>49.6010434999998</v>
      </c>
      <c r="EJ85" s="92">
        <f aca="true" t="shared" si="266" ref="EJ85:EO85">EJ87+EJ89+EJ93</f>
        <v>53.578899500000006</v>
      </c>
      <c r="EK85" s="489">
        <f t="shared" si="266"/>
        <v>56.645432</v>
      </c>
      <c r="EL85" s="92">
        <f t="shared" si="266"/>
        <v>52.65679949999999</v>
      </c>
      <c r="EM85" s="92">
        <f t="shared" si="266"/>
        <v>54.63268000000003</v>
      </c>
      <c r="EN85" s="92">
        <f t="shared" si="266"/>
        <v>58.763400000000004</v>
      </c>
      <c r="EO85" s="339">
        <f t="shared" si="266"/>
        <v>59.299051000000006</v>
      </c>
      <c r="EP85" s="92">
        <f aca="true" t="shared" si="267" ref="EP85:EW85">EP87+EP89+EP93</f>
        <v>59.367949</v>
      </c>
      <c r="EQ85" s="92">
        <f t="shared" si="267"/>
        <v>59.58400600000002</v>
      </c>
      <c r="ER85" s="92">
        <f t="shared" si="267"/>
        <v>58.22302699999997</v>
      </c>
      <c r="ES85" s="489">
        <f t="shared" si="267"/>
        <v>59.5046735</v>
      </c>
      <c r="ET85" s="92">
        <f t="shared" si="267"/>
        <v>58.54641500000002</v>
      </c>
      <c r="EU85" s="92">
        <f t="shared" si="267"/>
        <v>61.11866299999998</v>
      </c>
      <c r="EV85" s="92">
        <f>EV87+EV89+EV93</f>
        <v>58.00807649999997</v>
      </c>
      <c r="EW85" s="339">
        <f t="shared" si="267"/>
        <v>56.7534015</v>
      </c>
      <c r="EX85" s="92">
        <f aca="true" t="shared" si="268" ref="EX85:FC85">EX87+EX89+EX93</f>
        <v>36.588378999999996</v>
      </c>
      <c r="EY85" s="92">
        <f t="shared" si="268"/>
        <v>59.886331500000004</v>
      </c>
      <c r="EZ85" s="92">
        <f t="shared" si="268"/>
        <v>57.393557</v>
      </c>
      <c r="FA85" s="339">
        <f t="shared" si="268"/>
        <v>56.2682255</v>
      </c>
      <c r="FB85" s="92">
        <f t="shared" si="268"/>
        <v>59.148064</v>
      </c>
      <c r="FC85" s="92">
        <f t="shared" si="268"/>
        <v>59.623140499999984</v>
      </c>
      <c r="FD85" s="92">
        <f aca="true" t="shared" si="269" ref="FD85:FI85">FD87+FD89+FD93</f>
        <v>52.43391599999998</v>
      </c>
      <c r="FE85" s="339">
        <f t="shared" si="269"/>
        <v>54.3298845</v>
      </c>
      <c r="FF85" s="92">
        <f t="shared" si="269"/>
        <v>49.7503595</v>
      </c>
      <c r="FG85" s="92">
        <f t="shared" si="269"/>
        <v>40.62322400000001</v>
      </c>
      <c r="FH85" s="92">
        <f t="shared" si="269"/>
        <v>44.634051999999954</v>
      </c>
      <c r="FI85" s="339">
        <f t="shared" si="269"/>
        <v>41.60246599999999</v>
      </c>
      <c r="FJ85" s="92">
        <f>FJ87+FJ89+FJ93</f>
        <v>43.49200450000001</v>
      </c>
      <c r="FK85" s="92">
        <f>FK87+FK89+FK93</f>
        <v>49.07885549999999</v>
      </c>
      <c r="FL85" s="92">
        <f>FL87+FL89+FL93</f>
        <v>48.19497700000004</v>
      </c>
      <c r="FM85" s="63"/>
      <c r="FN85" s="93">
        <f>FN87+FN89+FN93</f>
        <v>94.5</v>
      </c>
      <c r="FO85" s="93">
        <f aca="true" t="shared" si="270" ref="FO85:FU85">FO87+FO89+FO93</f>
        <v>143.5</v>
      </c>
      <c r="FP85" s="93">
        <f t="shared" si="270"/>
        <v>192.48000000000002</v>
      </c>
      <c r="FQ85" s="93">
        <f t="shared" si="270"/>
        <v>90.21610449999984</v>
      </c>
      <c r="FR85" s="93">
        <f t="shared" si="270"/>
        <v>146.1686134999994</v>
      </c>
      <c r="FS85" s="93">
        <f t="shared" si="270"/>
        <v>194.79999999999998</v>
      </c>
      <c r="FT85" s="93">
        <f t="shared" si="270"/>
        <v>112.70714199999998</v>
      </c>
      <c r="FU85" s="93">
        <f t="shared" si="270"/>
        <v>162.63847700000025</v>
      </c>
      <c r="FV85" s="93">
        <f aca="true" t="shared" si="271" ref="FV85:GB85">FV87+FV89+FV93</f>
        <v>214.06897049999975</v>
      </c>
      <c r="FW85" s="93">
        <f t="shared" si="271"/>
        <v>83.6270725000002</v>
      </c>
      <c r="FX85" s="93">
        <f t="shared" si="271"/>
        <v>133.228116</v>
      </c>
      <c r="FY85" s="93">
        <f t="shared" si="271"/>
        <v>186.8070155</v>
      </c>
      <c r="FZ85" s="93">
        <f t="shared" si="271"/>
        <v>109.30223149999999</v>
      </c>
      <c r="GA85" s="93">
        <f t="shared" si="271"/>
        <v>163.9349115</v>
      </c>
      <c r="GB85" s="93">
        <f t="shared" si="271"/>
        <v>222.69831150000002</v>
      </c>
      <c r="GC85" s="93">
        <f aca="true" t="shared" si="272" ref="GC85:GH85">GC87+GC89+GC93</f>
        <v>118.667</v>
      </c>
      <c r="GD85" s="93">
        <f t="shared" si="272"/>
        <v>178.25100600000002</v>
      </c>
      <c r="GE85" s="93">
        <f t="shared" si="272"/>
        <v>236.474033</v>
      </c>
      <c r="GF85" s="93">
        <f t="shared" si="272"/>
        <v>118.05108850000002</v>
      </c>
      <c r="GG85" s="93">
        <f t="shared" si="272"/>
        <v>179.1697515</v>
      </c>
      <c r="GH85" s="93">
        <f t="shared" si="272"/>
        <v>237.17782799999995</v>
      </c>
      <c r="GI85" s="93">
        <f aca="true" t="shared" si="273" ref="GI85:GN85">GI87+GI89+GI93</f>
        <v>93.3417805</v>
      </c>
      <c r="GJ85" s="93">
        <f t="shared" si="273"/>
        <v>153.228112</v>
      </c>
      <c r="GK85" s="93">
        <f t="shared" si="273"/>
        <v>210.621669</v>
      </c>
      <c r="GL85" s="93">
        <f t="shared" si="273"/>
        <v>115.4162895</v>
      </c>
      <c r="GM85" s="93">
        <f t="shared" si="273"/>
        <v>175.03942999999998</v>
      </c>
      <c r="GN85" s="93">
        <f t="shared" si="273"/>
        <v>227.47334599999996</v>
      </c>
      <c r="GO85" s="93">
        <f>GO87+GO89+GO93</f>
        <v>104.080244</v>
      </c>
      <c r="GP85" s="93">
        <f>GP87+GP89+GP93</f>
        <v>144.703468</v>
      </c>
      <c r="GQ85" s="93">
        <f>GQ87+GQ89+GQ93</f>
        <v>189.33751999999996</v>
      </c>
      <c r="GR85" s="93">
        <f>GR87+GR89+GR93</f>
        <v>85.0944705</v>
      </c>
      <c r="GS85" s="93">
        <f>GS87+GS89+GS93</f>
        <v>134.173326</v>
      </c>
      <c r="GT85" s="93">
        <f>GT87+GT89+GT93</f>
        <v>182.36830300000003</v>
      </c>
    </row>
    <row r="86" spans="1:202" s="129" customFormat="1" ht="15.75">
      <c r="A86" s="100" t="s">
        <v>104</v>
      </c>
      <c r="B86" s="100" t="s">
        <v>93</v>
      </c>
      <c r="C86" s="257">
        <f>C88+C90+C94</f>
        <v>43.388901</v>
      </c>
      <c r="D86" s="257">
        <f aca="true" t="shared" si="274" ref="D86:AF86">D88+D90+D94</f>
        <v>43.939992000000004</v>
      </c>
      <c r="E86" s="257">
        <f t="shared" si="274"/>
        <v>45.34657300000001</v>
      </c>
      <c r="F86" s="258">
        <f t="shared" si="274"/>
        <v>50.61026999999999</v>
      </c>
      <c r="G86" s="256">
        <f t="shared" si="274"/>
        <v>45.800000000000004</v>
      </c>
      <c r="H86" s="257">
        <f t="shared" si="274"/>
        <v>41.89246100000001</v>
      </c>
      <c r="I86" s="257">
        <f t="shared" si="274"/>
        <v>44.607538999999996</v>
      </c>
      <c r="J86" s="258">
        <f t="shared" si="274"/>
        <v>586.1427812</v>
      </c>
      <c r="K86" s="256">
        <f t="shared" si="274"/>
        <v>49.55200000000001</v>
      </c>
      <c r="L86" s="257">
        <f t="shared" si="274"/>
        <v>48.676958000000006</v>
      </c>
      <c r="M86" s="257">
        <f t="shared" si="274"/>
        <v>56.550270999999974</v>
      </c>
      <c r="N86" s="258">
        <f t="shared" si="274"/>
        <v>53.64137600000003</v>
      </c>
      <c r="O86" s="256">
        <f t="shared" si="274"/>
        <v>47.651263500000006</v>
      </c>
      <c r="P86" s="257">
        <f t="shared" si="274"/>
        <v>55.05281500000001</v>
      </c>
      <c r="Q86" s="257">
        <f t="shared" si="274"/>
        <v>46.26919599999999</v>
      </c>
      <c r="R86" s="257">
        <f t="shared" si="274"/>
        <v>53.42507199999999</v>
      </c>
      <c r="S86" s="256">
        <f t="shared" si="274"/>
        <v>49.8</v>
      </c>
      <c r="T86" s="257">
        <f t="shared" si="274"/>
        <v>47.59748200000001</v>
      </c>
      <c r="U86" s="257">
        <f t="shared" si="274"/>
        <v>49.71596750000001</v>
      </c>
      <c r="V86" s="257">
        <f t="shared" si="274"/>
        <v>29.115760499999993</v>
      </c>
      <c r="W86" s="256">
        <f t="shared" si="274"/>
        <v>44.8103025</v>
      </c>
      <c r="X86" s="257">
        <f t="shared" si="274"/>
        <v>47.851250500000006</v>
      </c>
      <c r="Y86" s="257">
        <f t="shared" si="274"/>
        <v>58.838447</v>
      </c>
      <c r="Z86" s="257">
        <f t="shared" si="274"/>
        <v>55</v>
      </c>
      <c r="AA86" s="256">
        <f t="shared" si="274"/>
        <v>64.822985</v>
      </c>
      <c r="AB86" s="257">
        <f t="shared" si="274"/>
        <v>59.006167</v>
      </c>
      <c r="AC86" s="257">
        <f t="shared" si="274"/>
        <v>53.424394000000014</v>
      </c>
      <c r="AD86" s="257">
        <f t="shared" si="274"/>
        <v>54.62723499999998</v>
      </c>
      <c r="AE86" s="256">
        <f t="shared" si="274"/>
        <v>44.674986</v>
      </c>
      <c r="AF86" s="257">
        <f t="shared" si="274"/>
        <v>48.607517</v>
      </c>
      <c r="AG86" s="257">
        <f t="shared" si="250"/>
        <v>53.820567</v>
      </c>
      <c r="AH86" s="268">
        <f t="shared" si="250"/>
        <v>52.371804</v>
      </c>
      <c r="AI86" s="465">
        <f t="shared" si="250"/>
        <v>55.30876</v>
      </c>
      <c r="AJ86" s="257">
        <f t="shared" si="251"/>
        <v>51.52855199999999</v>
      </c>
      <c r="AK86" s="257">
        <f t="shared" si="251"/>
        <v>56.90183600000002</v>
      </c>
      <c r="AL86" s="257">
        <f t="shared" si="251"/>
        <v>57.18279599999999</v>
      </c>
      <c r="AM86" s="465">
        <f>AM88+AM90+AM94</f>
        <v>57.563569</v>
      </c>
      <c r="AN86" s="257">
        <f t="shared" si="252"/>
        <v>59.338788</v>
      </c>
      <c r="AO86" s="257">
        <f t="shared" si="252"/>
        <v>64.29765549999999</v>
      </c>
      <c r="AP86" s="257">
        <f t="shared" si="252"/>
        <v>58.0484555</v>
      </c>
      <c r="AQ86" s="256">
        <f t="shared" si="253"/>
        <v>63.152390000000004</v>
      </c>
      <c r="AR86" s="257">
        <f t="shared" si="253"/>
        <v>61.363049999999994</v>
      </c>
      <c r="AS86" s="257">
        <f t="shared" si="253"/>
        <v>66.07392399999998</v>
      </c>
      <c r="AT86" s="257">
        <f>AT88+AT90+AT94</f>
        <v>57.22415699999999</v>
      </c>
      <c r="AU86" s="465">
        <f>AU88+AU90+AU94</f>
        <v>55.46293300000001</v>
      </c>
      <c r="AV86" s="257">
        <f t="shared" si="254"/>
        <v>38.834002000000005</v>
      </c>
      <c r="AW86" s="257">
        <f t="shared" si="254"/>
        <v>61.170101999999986</v>
      </c>
      <c r="AX86" s="268">
        <f t="shared" si="254"/>
        <v>57.6751865</v>
      </c>
      <c r="AY86" s="256">
        <f t="shared" si="255"/>
        <v>61.814866</v>
      </c>
      <c r="AZ86" s="257">
        <f t="shared" si="255"/>
        <v>62.838879999999996</v>
      </c>
      <c r="BA86" s="257">
        <f t="shared" si="255"/>
        <v>66.476012</v>
      </c>
      <c r="BB86" s="257">
        <f t="shared" si="256"/>
        <v>54.77017999999997</v>
      </c>
      <c r="BC86" s="256">
        <f t="shared" si="256"/>
        <v>56.899832999999994</v>
      </c>
      <c r="BD86" s="257">
        <f t="shared" si="256"/>
        <v>55.616786</v>
      </c>
      <c r="BE86" s="257">
        <f t="shared" si="257"/>
        <v>41.477974</v>
      </c>
      <c r="BF86" s="257">
        <f t="shared" si="257"/>
        <v>45.037855</v>
      </c>
      <c r="BG86" s="256">
        <f t="shared" si="257"/>
        <v>46.394074</v>
      </c>
      <c r="BH86" s="257">
        <f t="shared" si="257"/>
        <v>48.01436699999999</v>
      </c>
      <c r="BI86" s="257">
        <f>BI88+BI90+BI94</f>
        <v>56.580155999999995</v>
      </c>
      <c r="BJ86" s="257">
        <f>BJ88+BJ90+BJ94</f>
        <v>53.796399</v>
      </c>
      <c r="BK86" s="619"/>
      <c r="BL86" s="104"/>
      <c r="BM86" s="104"/>
      <c r="BN86" s="104"/>
      <c r="BO86" s="105"/>
      <c r="BP86" s="106"/>
      <c r="BQ86" s="107"/>
      <c r="BR86" s="107"/>
      <c r="BS86" s="108"/>
      <c r="BT86" s="106"/>
      <c r="BU86" s="107"/>
      <c r="BV86" s="107"/>
      <c r="BW86" s="108"/>
      <c r="BX86" s="106"/>
      <c r="BY86" s="107"/>
      <c r="BZ86" s="107"/>
      <c r="CA86" s="107"/>
      <c r="CB86" s="106"/>
      <c r="CC86" s="107"/>
      <c r="CD86" s="107"/>
      <c r="CE86" s="107"/>
      <c r="CF86" s="106"/>
      <c r="CG86" s="107"/>
      <c r="CH86" s="107"/>
      <c r="CI86" s="107"/>
      <c r="CJ86" s="106"/>
      <c r="CK86" s="107"/>
      <c r="CL86" s="107"/>
      <c r="CM86" s="405"/>
      <c r="CN86" s="106"/>
      <c r="CO86" s="107"/>
      <c r="CP86" s="107"/>
      <c r="CQ86" s="107"/>
      <c r="CR86" s="471"/>
      <c r="CS86" s="107"/>
      <c r="CT86" s="107"/>
      <c r="CU86" s="107"/>
      <c r="CV86" s="106"/>
      <c r="CW86" s="107"/>
      <c r="CX86" s="107"/>
      <c r="CY86" s="107"/>
      <c r="CZ86" s="106"/>
      <c r="DA86" s="107"/>
      <c r="DB86" s="107"/>
      <c r="DC86" s="107"/>
      <c r="DD86" s="106"/>
      <c r="DE86" s="107"/>
      <c r="DF86" s="107"/>
      <c r="DG86" s="107"/>
      <c r="DH86" s="106"/>
      <c r="DI86" s="107"/>
      <c r="DJ86" s="107"/>
      <c r="DK86" s="107"/>
      <c r="DL86" s="106"/>
      <c r="DM86" s="107"/>
      <c r="DN86" s="107"/>
      <c r="DO86" s="107"/>
      <c r="DP86" s="106"/>
      <c r="DQ86" s="107"/>
      <c r="DR86" s="107"/>
      <c r="DS86" s="107"/>
      <c r="DT86" s="91"/>
      <c r="DU86" s="126"/>
      <c r="DV86" s="126"/>
      <c r="DW86" s="126"/>
      <c r="DX86" s="342"/>
      <c r="DY86" s="343"/>
      <c r="DZ86" s="126"/>
      <c r="EA86" s="126"/>
      <c r="EB86" s="342"/>
      <c r="EC86" s="343"/>
      <c r="ED86" s="126"/>
      <c r="EE86" s="126"/>
      <c r="EF86" s="126"/>
      <c r="EG86" s="343"/>
      <c r="EH86" s="126"/>
      <c r="EI86" s="126"/>
      <c r="EJ86" s="126"/>
      <c r="EK86" s="490"/>
      <c r="EL86" s="126"/>
      <c r="EM86" s="126"/>
      <c r="EN86" s="126"/>
      <c r="EO86" s="343"/>
      <c r="EP86" s="126"/>
      <c r="EQ86" s="126"/>
      <c r="ER86" s="126"/>
      <c r="ES86" s="490"/>
      <c r="ET86" s="126"/>
      <c r="EU86" s="126"/>
      <c r="EV86" s="126"/>
      <c r="EW86" s="343"/>
      <c r="EX86" s="126"/>
      <c r="EY86" s="126"/>
      <c r="EZ86" s="126"/>
      <c r="FA86" s="343"/>
      <c r="FB86" s="126"/>
      <c r="FC86" s="126"/>
      <c r="FD86" s="126"/>
      <c r="FE86" s="343"/>
      <c r="FF86" s="126"/>
      <c r="FG86" s="126"/>
      <c r="FH86" s="126"/>
      <c r="FI86" s="343"/>
      <c r="FJ86" s="126"/>
      <c r="FK86" s="126"/>
      <c r="FL86" s="126"/>
      <c r="FM86" s="127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</row>
    <row r="87" spans="1:202" ht="15.75">
      <c r="A87" s="116" t="s">
        <v>73</v>
      </c>
      <c r="B87" s="117" t="s">
        <v>74</v>
      </c>
      <c r="C87" s="252">
        <f>C146</f>
        <v>15.63</v>
      </c>
      <c r="D87" s="252">
        <f aca="true" t="shared" si="275" ref="D87:AF87">D146</f>
        <v>16.18</v>
      </c>
      <c r="E87" s="252">
        <f t="shared" si="275"/>
        <v>20.635</v>
      </c>
      <c r="F87" s="260">
        <f t="shared" si="275"/>
        <v>24.29</v>
      </c>
      <c r="G87" s="259">
        <f t="shared" si="275"/>
        <v>20</v>
      </c>
      <c r="H87" s="252">
        <f t="shared" si="275"/>
        <v>21.659999999999997</v>
      </c>
      <c r="I87" s="252">
        <f t="shared" si="275"/>
        <v>18.440000000000005</v>
      </c>
      <c r="J87" s="260">
        <f t="shared" si="275"/>
        <v>21.6</v>
      </c>
      <c r="K87" s="259">
        <f t="shared" si="275"/>
        <v>18.7</v>
      </c>
      <c r="L87" s="252">
        <f t="shared" si="275"/>
        <v>18.7</v>
      </c>
      <c r="M87" s="252">
        <f t="shared" si="275"/>
        <v>21.52</v>
      </c>
      <c r="N87" s="260">
        <f t="shared" si="275"/>
        <v>18.870000000000008</v>
      </c>
      <c r="O87" s="259">
        <f t="shared" si="275"/>
        <v>18.51</v>
      </c>
      <c r="P87" s="252">
        <f t="shared" si="275"/>
        <v>20.59</v>
      </c>
      <c r="Q87" s="252">
        <f t="shared" si="275"/>
        <v>20.599999999999998</v>
      </c>
      <c r="R87" s="252">
        <f t="shared" si="275"/>
        <v>20.205</v>
      </c>
      <c r="S87" s="259">
        <f t="shared" si="275"/>
        <v>21.6</v>
      </c>
      <c r="T87" s="252">
        <f t="shared" si="275"/>
        <v>18.375</v>
      </c>
      <c r="U87" s="252">
        <f t="shared" si="275"/>
        <v>22.284999999999997</v>
      </c>
      <c r="V87" s="252">
        <f t="shared" si="275"/>
        <v>25.6</v>
      </c>
      <c r="W87" s="259">
        <f t="shared" si="275"/>
        <v>20.86</v>
      </c>
      <c r="X87" s="252">
        <f t="shared" si="275"/>
        <v>18.93</v>
      </c>
      <c r="Y87" s="252">
        <f t="shared" si="275"/>
        <v>23.21</v>
      </c>
      <c r="Z87" s="252">
        <f t="shared" si="275"/>
        <v>19.700000000000003</v>
      </c>
      <c r="AA87" s="259">
        <f t="shared" si="275"/>
        <v>25.13</v>
      </c>
      <c r="AB87" s="252">
        <f t="shared" si="275"/>
        <v>22.750000000000004</v>
      </c>
      <c r="AC87" s="252">
        <f t="shared" si="275"/>
        <v>20.12</v>
      </c>
      <c r="AD87" s="252">
        <f t="shared" si="275"/>
        <v>22.844999999999995</v>
      </c>
      <c r="AE87" s="259">
        <f t="shared" si="275"/>
        <v>17.065</v>
      </c>
      <c r="AF87" s="252">
        <f t="shared" si="275"/>
        <v>18.02</v>
      </c>
      <c r="AG87" s="252">
        <f aca="true" t="shared" si="276" ref="AG87:AH90">AG146</f>
        <v>20.215</v>
      </c>
      <c r="AH87" s="267">
        <f t="shared" si="276"/>
        <v>25.165000000000003</v>
      </c>
      <c r="AI87" s="275">
        <f aca="true" t="shared" si="277" ref="AI87:AJ90">AI146</f>
        <v>24.635</v>
      </c>
      <c r="AJ87" s="252">
        <f t="shared" si="277"/>
        <v>26.365</v>
      </c>
      <c r="AK87" s="252">
        <f aca="true" t="shared" si="278" ref="AK87:AM90">AK146</f>
        <v>22.580000000000002</v>
      </c>
      <c r="AL87" s="252">
        <f t="shared" si="278"/>
        <v>27.94500000000001</v>
      </c>
      <c r="AM87" s="275">
        <f t="shared" si="278"/>
        <v>26.41</v>
      </c>
      <c r="AN87" s="252">
        <f aca="true" t="shared" si="279" ref="AN87:AO90">AN146</f>
        <v>27.605</v>
      </c>
      <c r="AO87" s="252">
        <f t="shared" si="279"/>
        <v>26.400000000000002</v>
      </c>
      <c r="AP87" s="252">
        <f aca="true" t="shared" si="280" ref="AP87:AR90">AP146</f>
        <v>27.16</v>
      </c>
      <c r="AQ87" s="259">
        <f t="shared" si="280"/>
        <v>27.15</v>
      </c>
      <c r="AR87" s="252">
        <f t="shared" si="280"/>
        <v>23.690000000000005</v>
      </c>
      <c r="AS87" s="252">
        <f aca="true" t="shared" si="281" ref="AS87:AU90">AS146</f>
        <v>27.599999999999994</v>
      </c>
      <c r="AT87" s="252">
        <f t="shared" si="281"/>
        <v>27.70000000000001</v>
      </c>
      <c r="AU87" s="275">
        <f t="shared" si="281"/>
        <v>27.45</v>
      </c>
      <c r="AV87" s="252">
        <f aca="true" t="shared" si="282" ref="AV87:AW90">AV146</f>
        <v>16.470000000000002</v>
      </c>
      <c r="AW87" s="252">
        <f t="shared" si="282"/>
        <v>27.030000000000005</v>
      </c>
      <c r="AX87" s="267">
        <f aca="true" t="shared" si="283" ref="AX87:BA90">AX146</f>
        <v>26.879999999999978</v>
      </c>
      <c r="AY87" s="259">
        <f t="shared" si="283"/>
        <v>26</v>
      </c>
      <c r="AZ87" s="252">
        <f t="shared" si="283"/>
        <v>27.175</v>
      </c>
      <c r="BA87" s="252">
        <f t="shared" si="283"/>
        <v>27.67</v>
      </c>
      <c r="BB87" s="252">
        <f aca="true" t="shared" si="284" ref="BB87:BD90">BB146</f>
        <v>24.50999999999999</v>
      </c>
      <c r="BC87" s="259">
        <f t="shared" si="284"/>
        <v>27.665</v>
      </c>
      <c r="BD87" s="252">
        <f t="shared" si="284"/>
        <v>22.03</v>
      </c>
      <c r="BE87" s="252">
        <f aca="true" t="shared" si="285" ref="BE87:BH90">BE146</f>
        <v>21.85</v>
      </c>
      <c r="BF87" s="252">
        <f t="shared" si="285"/>
        <v>23.62999999999999</v>
      </c>
      <c r="BG87" s="259">
        <f t="shared" si="285"/>
        <v>20.015</v>
      </c>
      <c r="BH87" s="252">
        <f t="shared" si="285"/>
        <v>19.915</v>
      </c>
      <c r="BI87" s="252">
        <f aca="true" t="shared" si="286" ref="BI87:BJ90">BI146</f>
        <v>23.840000000000003</v>
      </c>
      <c r="BJ87" s="252">
        <f t="shared" si="286"/>
        <v>25.785000000000004</v>
      </c>
      <c r="BK87" s="619"/>
      <c r="BL87" s="121">
        <f aca="true" t="shared" si="287" ref="BL87:CN87">BL146</f>
        <v>0.5227930000000001</v>
      </c>
      <c r="BM87" s="121">
        <f t="shared" si="287"/>
        <v>0.5351489999999999</v>
      </c>
      <c r="BN87" s="121">
        <f t="shared" si="287"/>
        <v>4.035629500000001</v>
      </c>
      <c r="BO87" s="122">
        <f t="shared" si="287"/>
        <v>5.710671499999999</v>
      </c>
      <c r="BP87" s="123">
        <f t="shared" si="287"/>
        <v>3.7</v>
      </c>
      <c r="BQ87" s="124">
        <f t="shared" si="287"/>
        <v>5.456663999999999</v>
      </c>
      <c r="BR87" s="124">
        <f t="shared" si="287"/>
        <v>1.8433360000000008</v>
      </c>
      <c r="BS87" s="125">
        <f t="shared" si="287"/>
        <v>2.3000000000000007</v>
      </c>
      <c r="BT87" s="123">
        <f t="shared" si="287"/>
        <v>0.592842</v>
      </c>
      <c r="BU87" s="124">
        <f t="shared" si="287"/>
        <v>1.7260214999999999</v>
      </c>
      <c r="BV87" s="124">
        <f t="shared" si="287"/>
        <v>1.3811365000000002</v>
      </c>
      <c r="BW87" s="125">
        <f t="shared" si="287"/>
        <v>0.8249999999999994</v>
      </c>
      <c r="BX87" s="123">
        <f t="shared" si="287"/>
        <v>0.9</v>
      </c>
      <c r="BY87" s="124">
        <f t="shared" si="287"/>
        <v>1.2371559999999997</v>
      </c>
      <c r="BZ87" s="124">
        <f t="shared" si="287"/>
        <v>2.2628440000000007</v>
      </c>
      <c r="CA87" s="124">
        <f t="shared" si="287"/>
        <v>2.8565385</v>
      </c>
      <c r="CB87" s="123">
        <f t="shared" si="287"/>
        <v>3.8</v>
      </c>
      <c r="CC87" s="124">
        <f t="shared" si="287"/>
        <v>1.7999999999999998</v>
      </c>
      <c r="CD87" s="124">
        <f t="shared" si="287"/>
        <v>5.7167745000000005</v>
      </c>
      <c r="CE87" s="124">
        <f t="shared" si="287"/>
        <v>9.4832255</v>
      </c>
      <c r="CF87" s="123">
        <f t="shared" si="287"/>
        <v>4.893006</v>
      </c>
      <c r="CG87" s="124">
        <f t="shared" si="287"/>
        <v>2.6096135</v>
      </c>
      <c r="CH87" s="124">
        <f t="shared" si="287"/>
        <v>3.1973804999999995</v>
      </c>
      <c r="CI87" s="124">
        <f t="shared" si="287"/>
        <v>1.5</v>
      </c>
      <c r="CJ87" s="123">
        <f t="shared" si="287"/>
        <v>2.0425705</v>
      </c>
      <c r="CK87" s="124">
        <f t="shared" si="287"/>
        <v>0.6660895</v>
      </c>
      <c r="CL87" s="124">
        <f t="shared" si="287"/>
        <v>2.4364945000000002</v>
      </c>
      <c r="CM87" s="407">
        <f t="shared" si="287"/>
        <v>2.7276119999999997</v>
      </c>
      <c r="CN87" s="123">
        <f t="shared" si="287"/>
        <v>0.8888865</v>
      </c>
      <c r="CO87" s="124">
        <f aca="true" t="shared" si="288" ref="CO87:CT87">CO146</f>
        <v>0.7566379999999998</v>
      </c>
      <c r="CP87" s="124">
        <f t="shared" si="288"/>
        <v>1.5785915000000004</v>
      </c>
      <c r="CQ87" s="124">
        <f t="shared" si="288"/>
        <v>6.4874465</v>
      </c>
      <c r="CR87" s="473">
        <f t="shared" si="288"/>
        <v>4.921444999999999</v>
      </c>
      <c r="CS87" s="124">
        <f t="shared" si="288"/>
        <v>5.763852500000001</v>
      </c>
      <c r="CT87" s="124">
        <f t="shared" si="288"/>
        <v>2.370722999999998</v>
      </c>
      <c r="CU87" s="124">
        <f aca="true" t="shared" si="289" ref="CU87:CZ87">CU146</f>
        <v>6.2909669999999975</v>
      </c>
      <c r="CV87" s="123">
        <f t="shared" si="289"/>
        <v>6.0899589999999995</v>
      </c>
      <c r="CW87" s="124">
        <f t="shared" si="289"/>
        <v>5.105997000000001</v>
      </c>
      <c r="CX87" s="124">
        <f t="shared" si="289"/>
        <v>3.0047900000000007</v>
      </c>
      <c r="CY87" s="124">
        <f t="shared" si="289"/>
        <v>6.376941999999999</v>
      </c>
      <c r="CZ87" s="123">
        <f t="shared" si="289"/>
        <v>3.8608614999999995</v>
      </c>
      <c r="DA87" s="124">
        <f aca="true" t="shared" si="290" ref="DA87:DF87">DA146</f>
        <v>2.4952840000000007</v>
      </c>
      <c r="DB87" s="124">
        <f t="shared" si="290"/>
        <v>2.0308639999999993</v>
      </c>
      <c r="DC87" s="124">
        <f t="shared" si="290"/>
        <v>7.019988500000002</v>
      </c>
      <c r="DD87" s="123">
        <f t="shared" si="290"/>
        <v>6.097256999999999</v>
      </c>
      <c r="DE87" s="124">
        <f t="shared" si="290"/>
        <v>2.371674500000001</v>
      </c>
      <c r="DF87" s="124">
        <f t="shared" si="290"/>
        <v>5.7011415</v>
      </c>
      <c r="DG87" s="124">
        <f aca="true" t="shared" si="291" ref="DG87:DL87">DG146</f>
        <v>5.525116999999996</v>
      </c>
      <c r="DH87" s="123">
        <f t="shared" si="291"/>
        <v>3.2561355</v>
      </c>
      <c r="DI87" s="124">
        <f t="shared" si="291"/>
        <v>3.5991040000000005</v>
      </c>
      <c r="DJ87" s="124">
        <f t="shared" si="291"/>
        <v>2.5927305</v>
      </c>
      <c r="DK87" s="124">
        <f t="shared" si="291"/>
        <v>4.990186</v>
      </c>
      <c r="DL87" s="123">
        <f t="shared" si="291"/>
        <v>5.615724500000001</v>
      </c>
      <c r="DM87" s="124">
        <f aca="true" t="shared" si="292" ref="DM87:DR87">DM146</f>
        <v>2.3124285</v>
      </c>
      <c r="DN87" s="124">
        <f t="shared" si="292"/>
        <v>6.01272</v>
      </c>
      <c r="DO87" s="124">
        <f t="shared" si="292"/>
        <v>6.5525619999999964</v>
      </c>
      <c r="DP87" s="123">
        <f t="shared" si="292"/>
        <v>3.0302759999999997</v>
      </c>
      <c r="DQ87" s="124">
        <f t="shared" si="292"/>
        <v>2.1794965</v>
      </c>
      <c r="DR87" s="124">
        <f t="shared" si="292"/>
        <v>2.7748455</v>
      </c>
      <c r="DS87" s="124">
        <f>DS146</f>
        <v>4.877769999999998</v>
      </c>
      <c r="DT87" s="91"/>
      <c r="DU87" s="109">
        <v>3.8</v>
      </c>
      <c r="DV87" s="109">
        <v>1.7999999999999998</v>
      </c>
      <c r="DW87" s="109">
        <v>5.700000000000001</v>
      </c>
      <c r="DX87" s="340">
        <v>9.55</v>
      </c>
      <c r="DY87" s="341">
        <v>4.893006</v>
      </c>
      <c r="DZ87" s="109">
        <f>FQ87-DY87</f>
        <v>2.609613500000001</v>
      </c>
      <c r="EA87" s="109">
        <f>FR87-FQ87</f>
        <v>3.2151499999999986</v>
      </c>
      <c r="EB87" s="340">
        <f>FS87-FR87</f>
        <v>1.4822305</v>
      </c>
      <c r="EC87" s="341">
        <v>2.042570499999999</v>
      </c>
      <c r="ED87" s="109">
        <f>FT87-EC87</f>
        <v>0.6660894999999978</v>
      </c>
      <c r="EE87" s="109">
        <f>FU87-EC87-ED87</f>
        <v>2.4364980000000025</v>
      </c>
      <c r="EF87" s="109">
        <f>FV87-EE87-ED87-EC87</f>
        <v>2.7276084999999997</v>
      </c>
      <c r="EG87" s="341">
        <v>0.8888864999999999</v>
      </c>
      <c r="EH87" s="109">
        <f>FW87-EG87</f>
        <v>0.7566379999999995</v>
      </c>
      <c r="EI87" s="109">
        <f>FX87-EH87-EG87</f>
        <v>1.5785915</v>
      </c>
      <c r="EJ87" s="109">
        <f>FY87-EI87-EH87-EG87</f>
        <v>6.4874465</v>
      </c>
      <c r="EK87" s="420">
        <v>4.921445</v>
      </c>
      <c r="EL87" s="109">
        <f>FZ87-EK87</f>
        <v>5.7638525000000005</v>
      </c>
      <c r="EM87" s="109">
        <f>GA87-EL87-EK87</f>
        <v>2.370723</v>
      </c>
      <c r="EN87" s="109">
        <f>GB87-EM87-EL87-EK87</f>
        <v>6.290966999999998</v>
      </c>
      <c r="EO87" s="341">
        <v>6.089958999999999</v>
      </c>
      <c r="EP87" s="109">
        <f>GC87-EO87</f>
        <v>5.105997000000004</v>
      </c>
      <c r="EQ87" s="109">
        <f>GD87-GC87</f>
        <v>3.00479</v>
      </c>
      <c r="ER87" s="109">
        <f>GE87-GD87</f>
        <v>6.376941999999996</v>
      </c>
      <c r="ES87" s="420">
        <v>3.8608614999999995</v>
      </c>
      <c r="ET87" s="109">
        <f>GF87-ES87</f>
        <v>2.4952840000000007</v>
      </c>
      <c r="EU87" s="109">
        <f>GG87-ET87-ES87</f>
        <v>2.0308639999999993</v>
      </c>
      <c r="EV87" s="109">
        <f>GH87-GG87</f>
        <v>7.019988500000002</v>
      </c>
      <c r="EW87" s="341">
        <v>5.7743725</v>
      </c>
      <c r="EX87" s="109">
        <f>GI87-EW87</f>
        <v>2.6948589999999992</v>
      </c>
      <c r="EY87" s="109">
        <f>GJ87-EX87-EW87</f>
        <v>5.700841500000001</v>
      </c>
      <c r="EZ87" s="109">
        <f>GK87-GJ87</f>
        <v>5.525117000000003</v>
      </c>
      <c r="FA87" s="341">
        <v>3.2561355</v>
      </c>
      <c r="FB87" s="109">
        <f>GL87-FA87</f>
        <v>3.5991039999999996</v>
      </c>
      <c r="FC87" s="109">
        <f>GM87-GL87</f>
        <v>2.5927305</v>
      </c>
      <c r="FD87" s="109">
        <f>GN87-GM87</f>
        <v>4.990186</v>
      </c>
      <c r="FE87" s="341">
        <v>5.6157245</v>
      </c>
      <c r="FF87" s="109">
        <f>GO87-FE87</f>
        <v>2.3124284999999993</v>
      </c>
      <c r="FG87" s="109">
        <f>GP87-GO87</f>
        <v>6.012720000000001</v>
      </c>
      <c r="FH87" s="109">
        <f>GQ87-GP87</f>
        <v>6.552562000000002</v>
      </c>
      <c r="FI87" s="341">
        <v>3.0302759999999997</v>
      </c>
      <c r="FJ87" s="109">
        <f>GR87-FI87</f>
        <v>2.1794965</v>
      </c>
      <c r="FK87" s="109">
        <f>GS87-GR87</f>
        <v>2.7748454999999996</v>
      </c>
      <c r="FL87" s="109">
        <f>GT87-GS87</f>
        <v>4.87777</v>
      </c>
      <c r="FM87" s="63"/>
      <c r="FN87" s="110">
        <f aca="true" t="shared" si="293" ref="FN87:FW87">FN37</f>
        <v>5.6</v>
      </c>
      <c r="FO87" s="110">
        <f t="shared" si="293"/>
        <v>11.3</v>
      </c>
      <c r="FP87" s="110">
        <f t="shared" si="293"/>
        <v>20.85</v>
      </c>
      <c r="FQ87" s="110">
        <f t="shared" si="293"/>
        <v>7.502619500000001</v>
      </c>
      <c r="FR87" s="110">
        <f t="shared" si="293"/>
        <v>10.7177695</v>
      </c>
      <c r="FS87" s="110">
        <f t="shared" si="293"/>
        <v>12.2</v>
      </c>
      <c r="FT87" s="110">
        <f t="shared" si="293"/>
        <v>2.708659999999997</v>
      </c>
      <c r="FU87" s="110">
        <f t="shared" si="293"/>
        <v>5.1451579999999995</v>
      </c>
      <c r="FV87" s="110">
        <f t="shared" si="293"/>
        <v>7.8727665</v>
      </c>
      <c r="FW87" s="110">
        <f t="shared" si="293"/>
        <v>1.6455244999999994</v>
      </c>
      <c r="FX87" s="110">
        <v>3.2241159999999995</v>
      </c>
      <c r="FY87" s="110">
        <v>9.7115625</v>
      </c>
      <c r="FZ87" s="110">
        <v>10.6852975</v>
      </c>
      <c r="GA87" s="110">
        <v>13.0560205</v>
      </c>
      <c r="GB87" s="110">
        <v>19.3469875</v>
      </c>
      <c r="GC87" s="110">
        <v>11.195956000000002</v>
      </c>
      <c r="GD87" s="110">
        <v>14.200746000000002</v>
      </c>
      <c r="GE87" s="110">
        <v>20.577688</v>
      </c>
      <c r="GF87" s="110">
        <v>6.3561455</v>
      </c>
      <c r="GG87" s="110">
        <v>8.3870095</v>
      </c>
      <c r="GH87" s="110">
        <v>15.406998000000002</v>
      </c>
      <c r="GI87" s="110">
        <v>8.4692315</v>
      </c>
      <c r="GJ87" s="110">
        <v>14.170073</v>
      </c>
      <c r="GK87" s="110">
        <v>19.695190000000004</v>
      </c>
      <c r="GL87" s="110">
        <v>6.8552395</v>
      </c>
      <c r="GM87" s="110">
        <v>9.44797</v>
      </c>
      <c r="GN87" s="110">
        <v>14.438156</v>
      </c>
      <c r="GO87" s="110">
        <v>7.928152999999999</v>
      </c>
      <c r="GP87" s="110">
        <v>13.940873</v>
      </c>
      <c r="GQ87" s="110">
        <v>20.493435</v>
      </c>
      <c r="GR87" s="110">
        <v>5.2097725</v>
      </c>
      <c r="GS87" s="110">
        <v>7.984617999999999</v>
      </c>
      <c r="GT87" s="110">
        <v>12.862388</v>
      </c>
    </row>
    <row r="88" spans="1:202" s="129" customFormat="1" ht="15.75">
      <c r="A88" s="100" t="s">
        <v>104</v>
      </c>
      <c r="B88" s="100" t="s">
        <v>93</v>
      </c>
      <c r="C88" s="257">
        <f>C147</f>
        <v>14.801001</v>
      </c>
      <c r="D88" s="257">
        <f aca="true" t="shared" si="294" ref="D88:AF88">D147</f>
        <v>15.830492000000003</v>
      </c>
      <c r="E88" s="257">
        <f t="shared" si="294"/>
        <v>16.628072999999997</v>
      </c>
      <c r="F88" s="258">
        <f t="shared" si="294"/>
        <v>18.404069999999997</v>
      </c>
      <c r="G88" s="256">
        <f t="shared" si="294"/>
        <v>16.8</v>
      </c>
      <c r="H88" s="257">
        <f t="shared" si="294"/>
        <v>15.412561</v>
      </c>
      <c r="I88" s="257">
        <f t="shared" si="294"/>
        <v>16.487439000000006</v>
      </c>
      <c r="J88" s="258">
        <f t="shared" si="294"/>
        <v>20.39999999999999</v>
      </c>
      <c r="K88" s="256">
        <f t="shared" si="294"/>
        <v>17.999</v>
      </c>
      <c r="L88" s="257">
        <f t="shared" si="294"/>
        <v>16.857058000000006</v>
      </c>
      <c r="M88" s="257">
        <f t="shared" si="294"/>
        <v>19.742670999999998</v>
      </c>
      <c r="N88" s="258">
        <f t="shared" si="294"/>
        <v>18.969875999999996</v>
      </c>
      <c r="O88" s="256">
        <f t="shared" si="294"/>
        <v>17.2014635</v>
      </c>
      <c r="P88" s="257">
        <f t="shared" si="294"/>
        <v>19.266815000000005</v>
      </c>
      <c r="Q88" s="257">
        <f t="shared" si="294"/>
        <v>18.213995999999998</v>
      </c>
      <c r="R88" s="257">
        <f t="shared" si="294"/>
        <v>17.160271999999992</v>
      </c>
      <c r="S88" s="256">
        <f t="shared" si="294"/>
        <v>18.2</v>
      </c>
      <c r="T88" s="257">
        <f t="shared" si="294"/>
        <v>16.315882</v>
      </c>
      <c r="U88" s="257">
        <f t="shared" si="294"/>
        <v>17.245467500000007</v>
      </c>
      <c r="V88" s="257">
        <f t="shared" si="294"/>
        <v>15.5808605</v>
      </c>
      <c r="W88" s="256">
        <f t="shared" si="294"/>
        <v>15.1787025</v>
      </c>
      <c r="X88" s="257">
        <f t="shared" si="294"/>
        <v>16.6110505</v>
      </c>
      <c r="Y88" s="257">
        <f t="shared" si="294"/>
        <v>20.810247000000004</v>
      </c>
      <c r="Z88" s="257">
        <f t="shared" si="294"/>
        <v>18.099999999999994</v>
      </c>
      <c r="AA88" s="256">
        <f t="shared" si="294"/>
        <v>23.259885</v>
      </c>
      <c r="AB88" s="257">
        <f t="shared" si="294"/>
        <v>21.446167</v>
      </c>
      <c r="AC88" s="257">
        <f t="shared" si="294"/>
        <v>18.266994000000008</v>
      </c>
      <c r="AD88" s="257">
        <f t="shared" si="294"/>
        <v>19.375734999999988</v>
      </c>
      <c r="AE88" s="256">
        <f t="shared" si="294"/>
        <v>15.621786</v>
      </c>
      <c r="AF88" s="257">
        <f t="shared" si="294"/>
        <v>17.555917</v>
      </c>
      <c r="AG88" s="257">
        <f t="shared" si="276"/>
        <v>18.791767</v>
      </c>
      <c r="AH88" s="268">
        <f t="shared" si="276"/>
        <v>19.285203999999993</v>
      </c>
      <c r="AI88" s="465">
        <f t="shared" si="277"/>
        <v>19.72326</v>
      </c>
      <c r="AJ88" s="257">
        <f t="shared" si="277"/>
        <v>19.274052</v>
      </c>
      <c r="AK88" s="257">
        <f t="shared" si="278"/>
        <v>21.186236000000005</v>
      </c>
      <c r="AL88" s="257">
        <f t="shared" si="278"/>
        <v>21.60699599999999</v>
      </c>
      <c r="AM88" s="465">
        <f t="shared" si="278"/>
        <v>20.918468999999998</v>
      </c>
      <c r="AN88" s="257">
        <f t="shared" si="279"/>
        <v>22.031388000000003</v>
      </c>
      <c r="AO88" s="257">
        <f t="shared" si="279"/>
        <v>23.45165549999999</v>
      </c>
      <c r="AP88" s="257">
        <f t="shared" si="280"/>
        <v>20.9739555</v>
      </c>
      <c r="AQ88" s="256">
        <f t="shared" si="280"/>
        <v>22.50399</v>
      </c>
      <c r="AR88" s="257">
        <f t="shared" si="280"/>
        <v>22.36775</v>
      </c>
      <c r="AS88" s="257">
        <f t="shared" si="281"/>
        <v>24.658023999999983</v>
      </c>
      <c r="AT88" s="257">
        <f t="shared" si="281"/>
        <v>21.079757</v>
      </c>
      <c r="AU88" s="465">
        <f t="shared" si="281"/>
        <v>20.278933000000002</v>
      </c>
      <c r="AV88" s="257">
        <f t="shared" si="282"/>
        <v>14.952702000000002</v>
      </c>
      <c r="AW88" s="257">
        <f t="shared" si="282"/>
        <v>21.94310199999999</v>
      </c>
      <c r="AX88" s="268">
        <f t="shared" si="283"/>
        <v>21.2861865</v>
      </c>
      <c r="AY88" s="256">
        <f t="shared" si="283"/>
        <v>22.507866</v>
      </c>
      <c r="AZ88" s="257">
        <f t="shared" si="283"/>
        <v>23.17288</v>
      </c>
      <c r="BA88" s="257">
        <f t="shared" si="283"/>
        <v>24.984012</v>
      </c>
      <c r="BB88" s="257">
        <f t="shared" si="284"/>
        <v>20.053179999999998</v>
      </c>
      <c r="BC88" s="256">
        <f t="shared" si="284"/>
        <v>21.261833</v>
      </c>
      <c r="BD88" s="257">
        <f t="shared" si="284"/>
        <v>20.493286</v>
      </c>
      <c r="BE88" s="257">
        <f t="shared" si="285"/>
        <v>15.397974000000001</v>
      </c>
      <c r="BF88" s="257">
        <f t="shared" si="285"/>
        <v>17.259855000000005</v>
      </c>
      <c r="BG88" s="256">
        <f t="shared" si="285"/>
        <v>17.356074</v>
      </c>
      <c r="BH88" s="257">
        <f t="shared" si="285"/>
        <v>17.594367</v>
      </c>
      <c r="BI88" s="257">
        <f t="shared" si="286"/>
        <v>21.145156</v>
      </c>
      <c r="BJ88" s="257">
        <f t="shared" si="286"/>
        <v>20.911399000000003</v>
      </c>
      <c r="BK88" s="619"/>
      <c r="BL88" s="111"/>
      <c r="BM88" s="111"/>
      <c r="BN88" s="111"/>
      <c r="BO88" s="112"/>
      <c r="BP88" s="113"/>
      <c r="BQ88" s="114"/>
      <c r="BR88" s="114"/>
      <c r="BS88" s="115"/>
      <c r="BT88" s="113"/>
      <c r="BU88" s="114"/>
      <c r="BV88" s="114"/>
      <c r="BW88" s="115"/>
      <c r="BX88" s="113"/>
      <c r="BY88" s="114"/>
      <c r="BZ88" s="114"/>
      <c r="CA88" s="114"/>
      <c r="CB88" s="113"/>
      <c r="CC88" s="114"/>
      <c r="CD88" s="114"/>
      <c r="CE88" s="114"/>
      <c r="CF88" s="113"/>
      <c r="CG88" s="114"/>
      <c r="CH88" s="114"/>
      <c r="CI88" s="114"/>
      <c r="CJ88" s="113"/>
      <c r="CK88" s="114"/>
      <c r="CL88" s="114"/>
      <c r="CM88" s="406"/>
      <c r="CN88" s="113"/>
      <c r="CO88" s="114"/>
      <c r="CP88" s="114"/>
      <c r="CQ88" s="114"/>
      <c r="CR88" s="472"/>
      <c r="CS88" s="114"/>
      <c r="CT88" s="114"/>
      <c r="CU88" s="114"/>
      <c r="CV88" s="113"/>
      <c r="CW88" s="114"/>
      <c r="CX88" s="114"/>
      <c r="CY88" s="114"/>
      <c r="CZ88" s="113"/>
      <c r="DA88" s="114"/>
      <c r="DB88" s="114"/>
      <c r="DC88" s="114"/>
      <c r="DD88" s="113"/>
      <c r="DE88" s="114"/>
      <c r="DF88" s="114"/>
      <c r="DG88" s="114"/>
      <c r="DH88" s="113"/>
      <c r="DI88" s="114"/>
      <c r="DJ88" s="114"/>
      <c r="DK88" s="114"/>
      <c r="DL88" s="113"/>
      <c r="DM88" s="114"/>
      <c r="DN88" s="114"/>
      <c r="DO88" s="114"/>
      <c r="DP88" s="113"/>
      <c r="DQ88" s="114"/>
      <c r="DR88" s="114"/>
      <c r="DS88" s="114"/>
      <c r="DT88" s="91"/>
      <c r="DU88" s="126"/>
      <c r="DV88" s="126"/>
      <c r="DW88" s="126"/>
      <c r="DX88" s="342"/>
      <c r="DY88" s="343"/>
      <c r="DZ88" s="126"/>
      <c r="EA88" s="126"/>
      <c r="EB88" s="342"/>
      <c r="EC88" s="343"/>
      <c r="ED88" s="126"/>
      <c r="EE88" s="126"/>
      <c r="EF88" s="126"/>
      <c r="EG88" s="343"/>
      <c r="EH88" s="126"/>
      <c r="EI88" s="126"/>
      <c r="EJ88" s="126"/>
      <c r="EK88" s="490"/>
      <c r="EL88" s="126"/>
      <c r="EM88" s="126"/>
      <c r="EN88" s="126"/>
      <c r="EO88" s="343"/>
      <c r="EP88" s="126"/>
      <c r="EQ88" s="126"/>
      <c r="ER88" s="126"/>
      <c r="ES88" s="490"/>
      <c r="ET88" s="126"/>
      <c r="EU88" s="126"/>
      <c r="EV88" s="126"/>
      <c r="EW88" s="343"/>
      <c r="EX88" s="126"/>
      <c r="EY88" s="126"/>
      <c r="EZ88" s="126"/>
      <c r="FA88" s="343"/>
      <c r="FB88" s="126"/>
      <c r="FC88" s="126"/>
      <c r="FD88" s="126"/>
      <c r="FE88" s="343"/>
      <c r="FF88" s="126"/>
      <c r="FG88" s="126"/>
      <c r="FH88" s="126"/>
      <c r="FI88" s="343"/>
      <c r="FJ88" s="126"/>
      <c r="FK88" s="126"/>
      <c r="FL88" s="126"/>
      <c r="FM88" s="127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</row>
    <row r="89" spans="1:202" ht="15.75">
      <c r="A89" s="116" t="s">
        <v>128</v>
      </c>
      <c r="B89" s="117" t="s">
        <v>76</v>
      </c>
      <c r="C89" s="252">
        <f>C148</f>
        <v>30.34804</v>
      </c>
      <c r="D89" s="252">
        <f aca="true" t="shared" si="295" ref="D89:AF89">D148</f>
        <v>29.548959999999997</v>
      </c>
      <c r="E89" s="252">
        <f t="shared" si="295"/>
        <v>31.43363</v>
      </c>
      <c r="F89" s="260">
        <f t="shared" si="295"/>
        <v>34.81348</v>
      </c>
      <c r="G89" s="259">
        <f t="shared" si="295"/>
        <v>32</v>
      </c>
      <c r="H89" s="252">
        <f t="shared" si="295"/>
        <v>29.4</v>
      </c>
      <c r="I89" s="252">
        <f t="shared" si="295"/>
        <v>32.099999999999994</v>
      </c>
      <c r="J89" s="260">
        <f t="shared" si="295"/>
        <v>38.80000000000001</v>
      </c>
      <c r="K89" s="259">
        <f t="shared" si="295"/>
        <v>34.25189</v>
      </c>
      <c r="L89" s="252">
        <f t="shared" si="295"/>
        <v>34.289829999999995</v>
      </c>
      <c r="M89" s="252">
        <f t="shared" si="295"/>
        <v>39.54221000000001</v>
      </c>
      <c r="N89" s="260">
        <f t="shared" si="295"/>
        <v>36.24379499999998</v>
      </c>
      <c r="O89" s="259">
        <f t="shared" si="295"/>
        <v>32.496359999999996</v>
      </c>
      <c r="P89" s="252">
        <f t="shared" si="295"/>
        <v>38.503640000000004</v>
      </c>
      <c r="Q89" s="252">
        <f t="shared" si="295"/>
        <v>35.3</v>
      </c>
      <c r="R89" s="252">
        <f t="shared" si="295"/>
        <v>32.82221</v>
      </c>
      <c r="S89" s="259">
        <f t="shared" si="295"/>
        <v>34.1</v>
      </c>
      <c r="T89" s="252">
        <f t="shared" si="295"/>
        <v>33.26488</v>
      </c>
      <c r="U89" s="252">
        <f t="shared" si="295"/>
        <v>33.81868000000001</v>
      </c>
      <c r="V89" s="252">
        <f t="shared" si="295"/>
        <v>29.27861999999999</v>
      </c>
      <c r="W89" s="259">
        <f t="shared" si="295"/>
        <v>30.38163</v>
      </c>
      <c r="X89" s="252">
        <f t="shared" si="295"/>
        <v>34.32155</v>
      </c>
      <c r="Y89" s="252">
        <f t="shared" si="295"/>
        <v>41.29682</v>
      </c>
      <c r="Z89" s="252">
        <f t="shared" si="295"/>
        <v>37.69999999999999</v>
      </c>
      <c r="AA89" s="259">
        <f t="shared" si="295"/>
        <v>47.408209</v>
      </c>
      <c r="AB89" s="252">
        <f t="shared" si="295"/>
        <v>43.756598999999994</v>
      </c>
      <c r="AC89" s="252">
        <f t="shared" si="295"/>
        <v>37.357099000000005</v>
      </c>
      <c r="AD89" s="252">
        <f t="shared" si="295"/>
        <v>39.67457400000001</v>
      </c>
      <c r="AE89" s="259">
        <f t="shared" si="295"/>
        <v>31.885852</v>
      </c>
      <c r="AF89" s="252">
        <f t="shared" si="295"/>
        <v>34.527902</v>
      </c>
      <c r="AG89" s="252">
        <f t="shared" si="276"/>
        <v>38.80863600000001</v>
      </c>
      <c r="AH89" s="267">
        <f t="shared" si="276"/>
        <v>38.238960000000006</v>
      </c>
      <c r="AI89" s="275">
        <f t="shared" si="277"/>
        <v>40.753737</v>
      </c>
      <c r="AJ89" s="252">
        <f t="shared" si="277"/>
        <v>37.446263</v>
      </c>
      <c r="AK89" s="252">
        <f t="shared" si="278"/>
        <v>42.480542</v>
      </c>
      <c r="AL89" s="252">
        <f t="shared" si="278"/>
        <v>41.81793400000001</v>
      </c>
      <c r="AM89" s="275">
        <f t="shared" si="278"/>
        <v>41.681115</v>
      </c>
      <c r="AN89" s="252">
        <f t="shared" si="279"/>
        <v>43.56792000000001</v>
      </c>
      <c r="AO89" s="252">
        <f t="shared" si="279"/>
        <v>47.122335</v>
      </c>
      <c r="AP89" s="252">
        <f t="shared" si="280"/>
        <v>42.02885499999996</v>
      </c>
      <c r="AQ89" s="259">
        <f t="shared" si="280"/>
        <v>45.005285</v>
      </c>
      <c r="AR89" s="252">
        <f t="shared" si="280"/>
        <v>42.149010000000004</v>
      </c>
      <c r="AS89" s="252">
        <f t="shared" si="281"/>
        <v>44.956765000000004</v>
      </c>
      <c r="AT89" s="252">
        <f t="shared" si="281"/>
        <v>40.873839000000004</v>
      </c>
      <c r="AU89" s="275">
        <f t="shared" si="281"/>
        <v>39.743739</v>
      </c>
      <c r="AV89" s="252">
        <f t="shared" si="282"/>
        <v>27.538355000000017</v>
      </c>
      <c r="AW89" s="252">
        <f t="shared" si="282"/>
        <v>42.73349999999997</v>
      </c>
      <c r="AX89" s="267">
        <f t="shared" si="283"/>
        <v>40.76624</v>
      </c>
      <c r="AY89" s="259">
        <f t="shared" si="283"/>
        <v>42.146029999999996</v>
      </c>
      <c r="AZ89" s="252">
        <f t="shared" si="283"/>
        <v>44.02812</v>
      </c>
      <c r="BA89" s="252">
        <f t="shared" si="283"/>
        <v>45.61567</v>
      </c>
      <c r="BB89" s="252">
        <f t="shared" si="284"/>
        <v>37.697570000000006</v>
      </c>
      <c r="BC89" s="259">
        <f t="shared" si="284"/>
        <v>38.49556</v>
      </c>
      <c r="BD89" s="252">
        <f t="shared" si="284"/>
        <v>36.78836999999999</v>
      </c>
      <c r="BE89" s="252">
        <f t="shared" si="285"/>
        <v>27.442240000000012</v>
      </c>
      <c r="BF89" s="252">
        <f t="shared" si="285"/>
        <v>30.700260000000007</v>
      </c>
      <c r="BG89" s="259">
        <f t="shared" si="285"/>
        <v>31.15329</v>
      </c>
      <c r="BH89" s="252">
        <f t="shared" si="285"/>
        <v>32.35652</v>
      </c>
      <c r="BI89" s="252">
        <f t="shared" si="286"/>
        <v>37.00752</v>
      </c>
      <c r="BJ89" s="252">
        <f t="shared" si="286"/>
        <v>34.552470000000014</v>
      </c>
      <c r="BK89" s="619"/>
      <c r="BL89" s="121">
        <f aca="true" t="shared" si="296" ref="BL89:CN89">BL148</f>
        <v>2.14062</v>
      </c>
      <c r="BM89" s="121">
        <f t="shared" si="296"/>
        <v>1.3990099999999996</v>
      </c>
      <c r="BN89" s="121">
        <f t="shared" si="296"/>
        <v>2.9424799999999998</v>
      </c>
      <c r="BO89" s="122">
        <f t="shared" si="296"/>
        <v>3.171640000000001</v>
      </c>
      <c r="BP89" s="123">
        <f t="shared" si="296"/>
        <v>2.9</v>
      </c>
      <c r="BQ89" s="124">
        <f t="shared" si="296"/>
        <v>3.299375</v>
      </c>
      <c r="BR89" s="124">
        <f t="shared" si="296"/>
        <v>4.000624999999999</v>
      </c>
      <c r="BS89" s="125">
        <f t="shared" si="296"/>
        <v>3.3000000000000007</v>
      </c>
      <c r="BT89" s="123">
        <f t="shared" si="296"/>
        <v>2.90117</v>
      </c>
      <c r="BU89" s="124">
        <f t="shared" si="296"/>
        <v>2.53335</v>
      </c>
      <c r="BV89" s="124">
        <f t="shared" si="296"/>
        <v>2.46548</v>
      </c>
      <c r="BW89" s="125">
        <f t="shared" si="296"/>
        <v>2.334</v>
      </c>
      <c r="BX89" s="123">
        <f t="shared" si="296"/>
        <v>2.2</v>
      </c>
      <c r="BY89" s="124">
        <f t="shared" si="296"/>
        <v>2.6806</v>
      </c>
      <c r="BZ89" s="124">
        <f t="shared" si="296"/>
        <v>2.3194</v>
      </c>
      <c r="CA89" s="124">
        <f t="shared" si="296"/>
        <v>2.2262700000000004</v>
      </c>
      <c r="CB89" s="123">
        <f t="shared" si="296"/>
        <v>2.7</v>
      </c>
      <c r="CC89" s="124">
        <f t="shared" si="296"/>
        <v>2.3999999999999995</v>
      </c>
      <c r="CD89" s="124">
        <f t="shared" si="296"/>
        <v>1.6623400000000004</v>
      </c>
      <c r="CE89" s="124">
        <f t="shared" si="296"/>
        <v>1.3101000000000003</v>
      </c>
      <c r="CF89" s="123">
        <f t="shared" si="296"/>
        <v>0.93163</v>
      </c>
      <c r="CG89" s="124">
        <f t="shared" si="296"/>
        <v>3.3725499999999995</v>
      </c>
      <c r="CH89" s="124">
        <f t="shared" si="296"/>
        <v>3.49582</v>
      </c>
      <c r="CI89" s="124">
        <f t="shared" si="296"/>
        <v>1.1000000000000008</v>
      </c>
      <c r="CJ89" s="123">
        <f t="shared" si="296"/>
        <v>5.9477</v>
      </c>
      <c r="CK89" s="124">
        <f t="shared" si="296"/>
        <v>6.1499279999999965</v>
      </c>
      <c r="CL89" s="124">
        <f t="shared" si="296"/>
        <v>2.7910590000000015</v>
      </c>
      <c r="CM89" s="407">
        <f t="shared" si="296"/>
        <v>4.809793999999987</v>
      </c>
      <c r="CN89" s="123">
        <f t="shared" si="296"/>
        <v>3.076972</v>
      </c>
      <c r="CO89" s="124">
        <f aca="true" t="shared" si="297" ref="CO89:CT89">CO148</f>
        <v>3.704722</v>
      </c>
      <c r="CP89" s="124">
        <f t="shared" si="297"/>
        <v>3.978194</v>
      </c>
      <c r="CQ89" s="124">
        <f t="shared" si="297"/>
        <v>5.503062</v>
      </c>
      <c r="CR89" s="473">
        <f t="shared" si="297"/>
        <v>5.596237</v>
      </c>
      <c r="CS89" s="124">
        <f t="shared" si="297"/>
        <v>5.7016469999999995</v>
      </c>
      <c r="CT89" s="124">
        <f t="shared" si="297"/>
        <v>6.863961999999997</v>
      </c>
      <c r="CU89" s="124">
        <f aca="true" t="shared" si="298" ref="CU89:CZ89">CU148</f>
        <v>6.210752000000003</v>
      </c>
      <c r="CV89" s="123">
        <f t="shared" si="298"/>
        <v>6.079613</v>
      </c>
      <c r="CW89" s="124">
        <f t="shared" si="298"/>
        <v>6.562395</v>
      </c>
      <c r="CX89" s="124">
        <f t="shared" si="298"/>
        <v>6.28894</v>
      </c>
      <c r="CY89" s="124">
        <f t="shared" si="298"/>
        <v>5.370555000000001</v>
      </c>
      <c r="CZ89" s="123">
        <f t="shared" si="298"/>
        <v>4.7777650000000005</v>
      </c>
      <c r="DA89" s="124">
        <f aca="true" t="shared" si="299" ref="DA89:DF89">DA148</f>
        <v>3.7135300000000004</v>
      </c>
      <c r="DB89" s="124">
        <f t="shared" si="299"/>
        <v>3.9112620000000007</v>
      </c>
      <c r="DC89" s="124">
        <f t="shared" si="299"/>
        <v>5.1752619999999965</v>
      </c>
      <c r="DD89" s="123">
        <f t="shared" si="299"/>
        <v>5.499119</v>
      </c>
      <c r="DE89" s="124">
        <f t="shared" si="299"/>
        <v>4.313525</v>
      </c>
      <c r="DF89" s="124">
        <f t="shared" si="299"/>
        <v>4.356720000000001</v>
      </c>
      <c r="DG89" s="124">
        <f aca="true" t="shared" si="300" ref="DG89:DL89">DG148</f>
        <v>5.350019999999997</v>
      </c>
      <c r="DH89" s="123">
        <f t="shared" si="300"/>
        <v>4.66916</v>
      </c>
      <c r="DI89" s="124">
        <f t="shared" si="300"/>
        <v>5.46392</v>
      </c>
      <c r="DJ89" s="124">
        <f t="shared" si="300"/>
        <v>5.32347</v>
      </c>
      <c r="DK89" s="124">
        <f t="shared" si="300"/>
        <v>4.736170000000001</v>
      </c>
      <c r="DL89" s="123">
        <f t="shared" si="300"/>
        <v>5.519460000000001</v>
      </c>
      <c r="DM89" s="124">
        <f aca="true" t="shared" si="301" ref="DM89:DR89">DM148</f>
        <v>3.8630699999999996</v>
      </c>
      <c r="DN89" s="124">
        <f t="shared" si="301"/>
        <v>3.26724</v>
      </c>
      <c r="DO89" s="124">
        <f t="shared" si="301"/>
        <v>4.775259999999997</v>
      </c>
      <c r="DP89" s="123">
        <f t="shared" si="301"/>
        <v>4.04429</v>
      </c>
      <c r="DQ89" s="124">
        <f t="shared" si="301"/>
        <v>3.84852</v>
      </c>
      <c r="DR89" s="124">
        <f t="shared" si="301"/>
        <v>3.5657200000000002</v>
      </c>
      <c r="DS89" s="124">
        <f>DS148</f>
        <v>3.945270000000001</v>
      </c>
      <c r="DT89" s="91"/>
      <c r="DU89" s="109">
        <v>2.7</v>
      </c>
      <c r="DV89" s="109">
        <v>2.3999999999999995</v>
      </c>
      <c r="DW89" s="109">
        <v>1.7000000000000002</v>
      </c>
      <c r="DX89" s="340">
        <v>1.2700000000000005</v>
      </c>
      <c r="DY89" s="341">
        <v>0.93163</v>
      </c>
      <c r="DZ89" s="109">
        <f>FQ89-DY89</f>
        <v>3.3725500000000013</v>
      </c>
      <c r="EA89" s="109">
        <f>FR89-FQ89</f>
        <v>3.531808999999998</v>
      </c>
      <c r="EB89" s="340">
        <f>FS89-FR89</f>
        <v>1.0640110000000007</v>
      </c>
      <c r="EC89" s="341">
        <v>5.947701</v>
      </c>
      <c r="ED89" s="109">
        <f>FT89-EC89</f>
        <v>6.149927</v>
      </c>
      <c r="EE89" s="109">
        <f>FU89-EC89-ED89</f>
        <v>2.7910589999999935</v>
      </c>
      <c r="EF89" s="109">
        <f>FV89-EE89-ED89-EC89</f>
        <v>4.809794000000007</v>
      </c>
      <c r="EG89" s="341">
        <v>3.076972</v>
      </c>
      <c r="EH89" s="109">
        <f>FW89-EG89</f>
        <v>3.704722</v>
      </c>
      <c r="EI89" s="109">
        <f>FX89-EH89-EG89</f>
        <v>3.9783059999999995</v>
      </c>
      <c r="EJ89" s="109">
        <f>FY89-EI89-EH89-EG89</f>
        <v>5.50295</v>
      </c>
      <c r="EK89" s="420">
        <v>5.596237</v>
      </c>
      <c r="EL89" s="109">
        <f>FZ89-EK89</f>
        <v>5.7016469999999995</v>
      </c>
      <c r="EM89" s="109">
        <f>GA89-EL89-EK89</f>
        <v>6.863961999999997</v>
      </c>
      <c r="EN89" s="109">
        <f>GB89-EM89-EL89-EK89</f>
        <v>6.210751999999999</v>
      </c>
      <c r="EO89" s="341">
        <v>6.079612999999999</v>
      </c>
      <c r="EP89" s="109">
        <f>GC89-EO89</f>
        <v>6.562395000000001</v>
      </c>
      <c r="EQ89" s="109">
        <f>GD89-GC89</f>
        <v>6.343340000000001</v>
      </c>
      <c r="ER89" s="109">
        <f>GE89-GD89</f>
        <v>5.316154999999998</v>
      </c>
      <c r="ES89" s="420">
        <v>4.7777650000000005</v>
      </c>
      <c r="ET89" s="109">
        <f>GF89-ES89</f>
        <v>3.7135300000000004</v>
      </c>
      <c r="EU89" s="109">
        <f>GG89-ET89-ES89</f>
        <v>3.9112620000000007</v>
      </c>
      <c r="EV89" s="109">
        <f>GH89-GG89</f>
        <v>5.1752619999999965</v>
      </c>
      <c r="EW89" s="341">
        <v>5.499119</v>
      </c>
      <c r="EX89" s="109">
        <f>GI89-EW89</f>
        <v>4.3135249999999985</v>
      </c>
      <c r="EY89" s="109">
        <f>GJ89-EX89-EW89</f>
        <v>4.356719999999999</v>
      </c>
      <c r="EZ89" s="109">
        <f>GK89-GJ89</f>
        <v>5.350020000000004</v>
      </c>
      <c r="FA89" s="341">
        <v>4.66916</v>
      </c>
      <c r="FB89" s="109">
        <f>GL89-FA89</f>
        <v>5.46392</v>
      </c>
      <c r="FC89" s="109">
        <f>GM89-GL89</f>
        <v>5.32367</v>
      </c>
      <c r="FD89" s="109">
        <f>GN89-GM89</f>
        <v>4.735970000000002</v>
      </c>
      <c r="FE89" s="341">
        <v>5.51946</v>
      </c>
      <c r="FF89" s="109">
        <f>GO89-FE89</f>
        <v>3.8630700000000013</v>
      </c>
      <c r="FG89" s="109">
        <f>GP89-GO89</f>
        <v>3.2672399999999993</v>
      </c>
      <c r="FH89" s="109">
        <f>GQ89-GP89</f>
        <v>4.775259999999999</v>
      </c>
      <c r="FI89" s="341">
        <v>4.04429</v>
      </c>
      <c r="FJ89" s="109">
        <f>GR89-FI89</f>
        <v>3.8485199999999997</v>
      </c>
      <c r="FK89" s="109">
        <f>GS89-GR89</f>
        <v>3.56572</v>
      </c>
      <c r="FL89" s="109">
        <f>GT89-GS89</f>
        <v>3.9452700000000025</v>
      </c>
      <c r="FM89" s="63"/>
      <c r="FN89" s="110">
        <f aca="true" t="shared" si="302" ref="FN89:FW89">FN39</f>
        <v>5.1</v>
      </c>
      <c r="FO89" s="110">
        <f t="shared" si="302"/>
        <v>6.8</v>
      </c>
      <c r="FP89" s="110">
        <f t="shared" si="302"/>
        <v>8.07</v>
      </c>
      <c r="FQ89" s="110">
        <f t="shared" si="302"/>
        <v>4.3041800000000014</v>
      </c>
      <c r="FR89" s="110">
        <f t="shared" si="302"/>
        <v>7.835989</v>
      </c>
      <c r="FS89" s="110">
        <f t="shared" si="302"/>
        <v>8.9</v>
      </c>
      <c r="FT89" s="110">
        <f t="shared" si="302"/>
        <v>12.097628</v>
      </c>
      <c r="FU89" s="110">
        <f t="shared" si="302"/>
        <v>14.888686999999994</v>
      </c>
      <c r="FV89" s="110">
        <f t="shared" si="302"/>
        <v>19.698481</v>
      </c>
      <c r="FW89" s="110">
        <f t="shared" si="302"/>
        <v>6.781694</v>
      </c>
      <c r="FX89" s="110">
        <v>10.76</v>
      </c>
      <c r="FY89" s="110">
        <v>16.26295</v>
      </c>
      <c r="FZ89" s="110">
        <v>11.297884</v>
      </c>
      <c r="GA89" s="110">
        <v>18.161845999999997</v>
      </c>
      <c r="GB89" s="110">
        <v>24.372597999999996</v>
      </c>
      <c r="GC89" s="110">
        <v>12.642008</v>
      </c>
      <c r="GD89" s="110">
        <v>18.985348000000002</v>
      </c>
      <c r="GE89" s="110">
        <v>24.301503</v>
      </c>
      <c r="GF89" s="110">
        <v>8.491295000000001</v>
      </c>
      <c r="GG89" s="110">
        <v>12.402557000000002</v>
      </c>
      <c r="GH89" s="110">
        <v>17.577818999999998</v>
      </c>
      <c r="GI89" s="110">
        <v>9.812643999999999</v>
      </c>
      <c r="GJ89" s="110">
        <v>14.169363999999998</v>
      </c>
      <c r="GK89" s="110">
        <v>19.519384000000002</v>
      </c>
      <c r="GL89" s="110">
        <v>10.13308</v>
      </c>
      <c r="GM89" s="110">
        <v>15.45675</v>
      </c>
      <c r="GN89" s="110">
        <v>20.19272</v>
      </c>
      <c r="GO89" s="110">
        <v>9.382530000000001</v>
      </c>
      <c r="GP89" s="110">
        <v>12.64977</v>
      </c>
      <c r="GQ89" s="110">
        <v>17.42503</v>
      </c>
      <c r="GR89" s="110">
        <v>7.89281</v>
      </c>
      <c r="GS89" s="110">
        <v>11.45853</v>
      </c>
      <c r="GT89" s="110">
        <v>15.403800000000002</v>
      </c>
    </row>
    <row r="90" spans="1:202" s="129" customFormat="1" ht="15.75">
      <c r="A90" s="100" t="s">
        <v>104</v>
      </c>
      <c r="B90" s="100" t="s">
        <v>93</v>
      </c>
      <c r="C90" s="257">
        <f>C149</f>
        <v>28.333</v>
      </c>
      <c r="D90" s="257">
        <f aca="true" t="shared" si="303" ref="D90:AF90">D149</f>
        <v>27.857</v>
      </c>
      <c r="E90" s="257">
        <f t="shared" si="303"/>
        <v>28.531000000000006</v>
      </c>
      <c r="F90" s="258">
        <f t="shared" si="303"/>
        <v>32.019999999999996</v>
      </c>
      <c r="G90" s="256">
        <f t="shared" si="303"/>
        <v>28.9</v>
      </c>
      <c r="H90" s="257">
        <f t="shared" si="303"/>
        <v>26.232000000000006</v>
      </c>
      <c r="I90" s="257">
        <f t="shared" si="303"/>
        <v>27.96799999999999</v>
      </c>
      <c r="J90" s="258">
        <f t="shared" si="303"/>
        <v>35.60000000000001</v>
      </c>
      <c r="K90" s="256">
        <f t="shared" si="303"/>
        <v>31.353</v>
      </c>
      <c r="L90" s="257">
        <f t="shared" si="303"/>
        <v>31.585</v>
      </c>
      <c r="M90" s="257">
        <f t="shared" si="303"/>
        <v>36.60199999999998</v>
      </c>
      <c r="N90" s="258">
        <f t="shared" si="303"/>
        <v>34.512000000000036</v>
      </c>
      <c r="O90" s="256">
        <f t="shared" si="303"/>
        <v>30.286</v>
      </c>
      <c r="P90" s="257">
        <f t="shared" si="303"/>
        <v>35.786</v>
      </c>
      <c r="Q90" s="257">
        <f t="shared" si="303"/>
        <v>27.51899999999999</v>
      </c>
      <c r="R90" s="257">
        <f t="shared" si="303"/>
        <v>36.063</v>
      </c>
      <c r="S90" s="256">
        <f t="shared" si="303"/>
        <v>31.4</v>
      </c>
      <c r="T90" s="257">
        <f t="shared" si="303"/>
        <v>30.977000000000004</v>
      </c>
      <c r="U90" s="257">
        <f>U149</f>
        <v>32.13</v>
      </c>
      <c r="V90" s="257">
        <f t="shared" si="303"/>
        <v>13.298999999999992</v>
      </c>
      <c r="W90" s="256">
        <f t="shared" si="303"/>
        <v>29.408</v>
      </c>
      <c r="X90" s="257">
        <f t="shared" si="303"/>
        <v>31.033</v>
      </c>
      <c r="Y90" s="257">
        <f t="shared" si="303"/>
        <v>37.759</v>
      </c>
      <c r="Z90" s="257">
        <f t="shared" si="303"/>
        <v>36.7</v>
      </c>
      <c r="AA90" s="256">
        <f t="shared" si="303"/>
        <v>41.316</v>
      </c>
      <c r="AB90" s="257">
        <f t="shared" si="303"/>
        <v>37.327</v>
      </c>
      <c r="AC90" s="257">
        <f t="shared" si="303"/>
        <v>34.905</v>
      </c>
      <c r="AD90" s="257">
        <f t="shared" si="303"/>
        <v>34.94999999999999</v>
      </c>
      <c r="AE90" s="256">
        <f t="shared" si="303"/>
        <v>28.756999999999998</v>
      </c>
      <c r="AF90" s="257">
        <f t="shared" si="303"/>
        <v>30.791000000000004</v>
      </c>
      <c r="AG90" s="257">
        <f t="shared" si="276"/>
        <v>34.751999999999995</v>
      </c>
      <c r="AH90" s="268">
        <f t="shared" si="276"/>
        <v>32.691</v>
      </c>
      <c r="AI90" s="465">
        <f t="shared" si="277"/>
        <v>35.262</v>
      </c>
      <c r="AJ90" s="257">
        <f t="shared" si="277"/>
        <v>31.843999999999994</v>
      </c>
      <c r="AK90" s="257">
        <f t="shared" si="278"/>
        <v>35.403000000000006</v>
      </c>
      <c r="AL90" s="257">
        <f t="shared" si="278"/>
        <v>35.007999999999996</v>
      </c>
      <c r="AM90" s="465">
        <f t="shared" si="278"/>
        <v>36.31</v>
      </c>
      <c r="AN90" s="257">
        <f t="shared" si="279"/>
        <v>37.062</v>
      </c>
      <c r="AO90" s="257">
        <f t="shared" si="279"/>
        <v>40.620000000000005</v>
      </c>
      <c r="AP90" s="257">
        <f t="shared" si="280"/>
        <v>36.759</v>
      </c>
      <c r="AQ90" s="256">
        <f t="shared" si="280"/>
        <v>40.228</v>
      </c>
      <c r="AR90" s="257">
        <f t="shared" si="280"/>
        <v>38.599</v>
      </c>
      <c r="AS90" s="257">
        <f t="shared" si="281"/>
        <v>40.7455</v>
      </c>
      <c r="AT90" s="257">
        <f t="shared" si="281"/>
        <v>35.59499999999999</v>
      </c>
      <c r="AU90" s="465">
        <f t="shared" si="281"/>
        <v>34.594</v>
      </c>
      <c r="AV90" s="257">
        <f t="shared" si="282"/>
        <v>23.1173</v>
      </c>
      <c r="AW90" s="257">
        <f t="shared" si="282"/>
        <v>38.269</v>
      </c>
      <c r="AX90" s="268">
        <f t="shared" si="283"/>
        <v>35.088</v>
      </c>
      <c r="AY90" s="256">
        <f t="shared" si="283"/>
        <v>38.02</v>
      </c>
      <c r="AZ90" s="257">
        <f t="shared" si="283"/>
        <v>38.619</v>
      </c>
      <c r="BA90" s="257">
        <f t="shared" si="283"/>
        <v>40.039</v>
      </c>
      <c r="BB90" s="257">
        <f t="shared" si="284"/>
        <v>32.88399999999997</v>
      </c>
      <c r="BC90" s="256">
        <f t="shared" si="284"/>
        <v>33.253</v>
      </c>
      <c r="BD90" s="257">
        <f t="shared" si="284"/>
        <v>32.979</v>
      </c>
      <c r="BE90" s="257">
        <f t="shared" si="285"/>
        <v>24.174999999999997</v>
      </c>
      <c r="BF90" s="257">
        <f t="shared" si="285"/>
        <v>25.924999999999997</v>
      </c>
      <c r="BG90" s="256">
        <f t="shared" si="285"/>
        <v>27.109</v>
      </c>
      <c r="BH90" s="257">
        <f t="shared" si="285"/>
        <v>28.507999999999996</v>
      </c>
      <c r="BI90" s="257">
        <f t="shared" si="286"/>
        <v>33.38699999999999</v>
      </c>
      <c r="BJ90" s="257">
        <f t="shared" si="286"/>
        <v>30.281</v>
      </c>
      <c r="BK90" s="619"/>
      <c r="BL90" s="111"/>
      <c r="BM90" s="111"/>
      <c r="BN90" s="111"/>
      <c r="BO90" s="112"/>
      <c r="BP90" s="113"/>
      <c r="BQ90" s="114"/>
      <c r="BR90" s="114"/>
      <c r="BS90" s="115"/>
      <c r="BT90" s="113"/>
      <c r="BU90" s="114"/>
      <c r="BV90" s="114"/>
      <c r="BW90" s="115"/>
      <c r="BX90" s="113"/>
      <c r="BY90" s="114"/>
      <c r="BZ90" s="114"/>
      <c r="CA90" s="114"/>
      <c r="CB90" s="113"/>
      <c r="CC90" s="114"/>
      <c r="CD90" s="114"/>
      <c r="CE90" s="114"/>
      <c r="CF90" s="113"/>
      <c r="CG90" s="114"/>
      <c r="CH90" s="114"/>
      <c r="CI90" s="114"/>
      <c r="CJ90" s="113"/>
      <c r="CK90" s="114"/>
      <c r="CL90" s="114"/>
      <c r="CM90" s="406"/>
      <c r="CN90" s="113"/>
      <c r="CO90" s="114"/>
      <c r="CP90" s="114"/>
      <c r="CQ90" s="114"/>
      <c r="CR90" s="472"/>
      <c r="CS90" s="114"/>
      <c r="CT90" s="114"/>
      <c r="CU90" s="114"/>
      <c r="CV90" s="113"/>
      <c r="CW90" s="114"/>
      <c r="CX90" s="114"/>
      <c r="CY90" s="114"/>
      <c r="CZ90" s="113"/>
      <c r="DA90" s="114"/>
      <c r="DB90" s="114"/>
      <c r="DC90" s="114"/>
      <c r="DD90" s="113"/>
      <c r="DE90" s="114"/>
      <c r="DF90" s="114"/>
      <c r="DG90" s="114"/>
      <c r="DH90" s="113"/>
      <c r="DI90" s="114"/>
      <c r="DJ90" s="114"/>
      <c r="DK90" s="114"/>
      <c r="DL90" s="113"/>
      <c r="DM90" s="114"/>
      <c r="DN90" s="114"/>
      <c r="DO90" s="114"/>
      <c r="DP90" s="113"/>
      <c r="DQ90" s="114"/>
      <c r="DR90" s="114"/>
      <c r="DS90" s="114"/>
      <c r="DT90" s="91"/>
      <c r="DU90" s="126"/>
      <c r="DV90" s="126"/>
      <c r="DW90" s="126"/>
      <c r="DX90" s="342"/>
      <c r="DY90" s="343"/>
      <c r="DZ90" s="126"/>
      <c r="EA90" s="126"/>
      <c r="EB90" s="342"/>
      <c r="EC90" s="343"/>
      <c r="ED90" s="126"/>
      <c r="EE90" s="126"/>
      <c r="EF90" s="126"/>
      <c r="EG90" s="343"/>
      <c r="EH90" s="126"/>
      <c r="EI90" s="126"/>
      <c r="EJ90" s="126"/>
      <c r="EK90" s="490"/>
      <c r="EL90" s="126"/>
      <c r="EM90" s="126"/>
      <c r="EN90" s="126"/>
      <c r="EO90" s="343"/>
      <c r="EP90" s="126"/>
      <c r="EQ90" s="126"/>
      <c r="ER90" s="126"/>
      <c r="ES90" s="490"/>
      <c r="ET90" s="126"/>
      <c r="EU90" s="126"/>
      <c r="EV90" s="126"/>
      <c r="EW90" s="343"/>
      <c r="EX90" s="126"/>
      <c r="EY90" s="126"/>
      <c r="EZ90" s="126"/>
      <c r="FA90" s="343"/>
      <c r="FB90" s="126"/>
      <c r="FC90" s="126"/>
      <c r="FD90" s="126"/>
      <c r="FE90" s="343"/>
      <c r="FF90" s="126"/>
      <c r="FG90" s="126"/>
      <c r="FH90" s="126"/>
      <c r="FI90" s="343"/>
      <c r="FJ90" s="126"/>
      <c r="FK90" s="126"/>
      <c r="FL90" s="126"/>
      <c r="FM90" s="127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</row>
    <row r="91" spans="1:202" ht="30" customHeight="1" hidden="1">
      <c r="A91" s="116" t="s">
        <v>77</v>
      </c>
      <c r="B91" s="117" t="s">
        <v>78</v>
      </c>
      <c r="C91" s="252">
        <v>0</v>
      </c>
      <c r="D91" s="252">
        <v>0</v>
      </c>
      <c r="E91" s="252">
        <v>0</v>
      </c>
      <c r="F91" s="260">
        <v>0</v>
      </c>
      <c r="G91" s="259">
        <v>0</v>
      </c>
      <c r="H91" s="252">
        <v>0</v>
      </c>
      <c r="I91" s="252">
        <v>0</v>
      </c>
      <c r="J91" s="260">
        <v>0</v>
      </c>
      <c r="K91" s="259">
        <v>0</v>
      </c>
      <c r="L91" s="252">
        <v>0</v>
      </c>
      <c r="M91" s="252">
        <v>0</v>
      </c>
      <c r="N91" s="260">
        <v>0</v>
      </c>
      <c r="O91" s="259">
        <v>0</v>
      </c>
      <c r="P91" s="252">
        <v>0</v>
      </c>
      <c r="Q91" s="252">
        <v>0</v>
      </c>
      <c r="R91" s="252">
        <v>0</v>
      </c>
      <c r="S91" s="259">
        <v>0</v>
      </c>
      <c r="T91" s="252">
        <v>0</v>
      </c>
      <c r="U91" s="252">
        <v>0</v>
      </c>
      <c r="V91" s="252">
        <v>0</v>
      </c>
      <c r="W91" s="259">
        <v>0</v>
      </c>
      <c r="X91" s="252">
        <v>0</v>
      </c>
      <c r="Y91" s="252">
        <v>0</v>
      </c>
      <c r="Z91" s="252">
        <v>0</v>
      </c>
      <c r="AA91" s="259">
        <v>0</v>
      </c>
      <c r="AB91" s="252">
        <v>0</v>
      </c>
      <c r="AC91" s="252">
        <v>0</v>
      </c>
      <c r="AD91" s="252">
        <v>0</v>
      </c>
      <c r="AE91" s="259">
        <v>0</v>
      </c>
      <c r="AF91" s="252">
        <v>0</v>
      </c>
      <c r="AG91" s="252">
        <v>0</v>
      </c>
      <c r="AH91" s="267">
        <v>0</v>
      </c>
      <c r="AI91" s="275">
        <v>0</v>
      </c>
      <c r="AJ91" s="252">
        <v>0</v>
      </c>
      <c r="AK91" s="252">
        <v>0</v>
      </c>
      <c r="AL91" s="252">
        <v>0</v>
      </c>
      <c r="AM91" s="275">
        <v>0</v>
      </c>
      <c r="AN91" s="252">
        <v>0</v>
      </c>
      <c r="AO91" s="252">
        <v>0</v>
      </c>
      <c r="AP91" s="252">
        <v>0</v>
      </c>
      <c r="AQ91" s="259">
        <v>0</v>
      </c>
      <c r="AR91" s="252">
        <v>0</v>
      </c>
      <c r="AS91" s="252">
        <v>0</v>
      </c>
      <c r="AT91" s="252">
        <v>0</v>
      </c>
      <c r="AU91" s="275">
        <v>0</v>
      </c>
      <c r="AV91" s="252">
        <v>0</v>
      </c>
      <c r="AW91" s="252">
        <v>0</v>
      </c>
      <c r="AX91" s="267">
        <v>0</v>
      </c>
      <c r="AY91" s="259">
        <v>0</v>
      </c>
      <c r="AZ91" s="252">
        <v>0</v>
      </c>
      <c r="BA91" s="252">
        <v>0</v>
      </c>
      <c r="BB91" s="252">
        <v>0</v>
      </c>
      <c r="BC91" s="259">
        <v>0</v>
      </c>
      <c r="BD91" s="252">
        <v>0</v>
      </c>
      <c r="BE91" s="252">
        <v>0</v>
      </c>
      <c r="BF91" s="252">
        <v>0</v>
      </c>
      <c r="BG91" s="259">
        <v>0</v>
      </c>
      <c r="BH91" s="252">
        <v>0</v>
      </c>
      <c r="BI91" s="252">
        <v>0</v>
      </c>
      <c r="BJ91" s="252">
        <v>0</v>
      </c>
      <c r="BK91" s="619"/>
      <c r="BL91" s="121"/>
      <c r="BM91" s="121"/>
      <c r="BN91" s="121"/>
      <c r="BO91" s="122"/>
      <c r="BP91" s="123"/>
      <c r="BQ91" s="124"/>
      <c r="BR91" s="124"/>
      <c r="BS91" s="125"/>
      <c r="BT91" s="123"/>
      <c r="BU91" s="124"/>
      <c r="BV91" s="124"/>
      <c r="BW91" s="125"/>
      <c r="BX91" s="123"/>
      <c r="BY91" s="124"/>
      <c r="BZ91" s="124"/>
      <c r="CA91" s="124"/>
      <c r="CB91" s="123"/>
      <c r="CC91" s="124"/>
      <c r="CD91" s="124"/>
      <c r="CE91" s="124"/>
      <c r="CF91" s="123"/>
      <c r="CG91" s="124"/>
      <c r="CH91" s="124"/>
      <c r="CI91" s="124"/>
      <c r="CJ91" s="123"/>
      <c r="CK91" s="124"/>
      <c r="CL91" s="124"/>
      <c r="CM91" s="407"/>
      <c r="CN91" s="123"/>
      <c r="CO91" s="124"/>
      <c r="CP91" s="124"/>
      <c r="CQ91" s="124"/>
      <c r="CR91" s="473"/>
      <c r="CS91" s="124"/>
      <c r="CT91" s="124"/>
      <c r="CU91" s="124"/>
      <c r="CV91" s="123"/>
      <c r="CW91" s="124"/>
      <c r="CX91" s="124"/>
      <c r="CY91" s="124"/>
      <c r="CZ91" s="123"/>
      <c r="DA91" s="124"/>
      <c r="DB91" s="124"/>
      <c r="DC91" s="124"/>
      <c r="DD91" s="123"/>
      <c r="DE91" s="124"/>
      <c r="DF91" s="124"/>
      <c r="DG91" s="124"/>
      <c r="DH91" s="123"/>
      <c r="DI91" s="124"/>
      <c r="DJ91" s="124"/>
      <c r="DK91" s="124"/>
      <c r="DL91" s="123"/>
      <c r="DM91" s="124"/>
      <c r="DN91" s="124"/>
      <c r="DO91" s="124"/>
      <c r="DP91" s="123"/>
      <c r="DQ91" s="124"/>
      <c r="DR91" s="124"/>
      <c r="DS91" s="124"/>
      <c r="DT91" s="91"/>
      <c r="DU91" s="109"/>
      <c r="DV91" s="109"/>
      <c r="DW91" s="109"/>
      <c r="DX91" s="340"/>
      <c r="DY91" s="341"/>
      <c r="DZ91" s="109"/>
      <c r="EA91" s="109"/>
      <c r="EB91" s="340"/>
      <c r="EC91" s="341"/>
      <c r="ED91" s="109"/>
      <c r="EE91" s="109"/>
      <c r="EF91" s="109"/>
      <c r="EG91" s="341"/>
      <c r="EH91" s="109"/>
      <c r="EI91" s="109"/>
      <c r="EJ91" s="109"/>
      <c r="EK91" s="420"/>
      <c r="EL91" s="109"/>
      <c r="EM91" s="109"/>
      <c r="EN91" s="109"/>
      <c r="EO91" s="341"/>
      <c r="EP91" s="109"/>
      <c r="EQ91" s="109"/>
      <c r="ER91" s="109"/>
      <c r="ES91" s="420"/>
      <c r="ET91" s="109"/>
      <c r="EU91" s="109"/>
      <c r="EV91" s="109"/>
      <c r="EW91" s="341"/>
      <c r="EX91" s="109"/>
      <c r="EY91" s="109"/>
      <c r="EZ91" s="109"/>
      <c r="FA91" s="341"/>
      <c r="FB91" s="109"/>
      <c r="FC91" s="109"/>
      <c r="FD91" s="109"/>
      <c r="FE91" s="341"/>
      <c r="FF91" s="109"/>
      <c r="FG91" s="109"/>
      <c r="FH91" s="109"/>
      <c r="FI91" s="341"/>
      <c r="FJ91" s="109"/>
      <c r="FK91" s="109"/>
      <c r="FL91" s="109"/>
      <c r="FM91" s="63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</row>
    <row r="92" spans="1:202" ht="15" customHeight="1" hidden="1">
      <c r="A92" s="99" t="s">
        <v>104</v>
      </c>
      <c r="B92" s="100" t="s">
        <v>93</v>
      </c>
      <c r="C92" s="257">
        <v>0</v>
      </c>
      <c r="D92" s="257">
        <v>0</v>
      </c>
      <c r="E92" s="257">
        <v>0</v>
      </c>
      <c r="F92" s="258">
        <v>0</v>
      </c>
      <c r="G92" s="256">
        <v>0</v>
      </c>
      <c r="H92" s="257">
        <v>0</v>
      </c>
      <c r="I92" s="257">
        <v>0</v>
      </c>
      <c r="J92" s="258">
        <v>0</v>
      </c>
      <c r="K92" s="256">
        <v>0</v>
      </c>
      <c r="L92" s="252">
        <v>0</v>
      </c>
      <c r="M92" s="252">
        <v>0</v>
      </c>
      <c r="N92" s="260">
        <v>0</v>
      </c>
      <c r="O92" s="259">
        <v>0</v>
      </c>
      <c r="P92" s="252">
        <v>0</v>
      </c>
      <c r="Q92" s="252">
        <v>0</v>
      </c>
      <c r="R92" s="252">
        <v>0</v>
      </c>
      <c r="S92" s="259">
        <v>0</v>
      </c>
      <c r="T92" s="252">
        <v>0</v>
      </c>
      <c r="U92" s="252">
        <v>0</v>
      </c>
      <c r="V92" s="252">
        <v>0</v>
      </c>
      <c r="W92" s="259">
        <v>0</v>
      </c>
      <c r="X92" s="252">
        <v>0</v>
      </c>
      <c r="Y92" s="252">
        <v>0</v>
      </c>
      <c r="Z92" s="252">
        <v>0</v>
      </c>
      <c r="AA92" s="259">
        <v>0</v>
      </c>
      <c r="AB92" s="252">
        <v>0</v>
      </c>
      <c r="AC92" s="252">
        <v>0</v>
      </c>
      <c r="AD92" s="252">
        <v>0</v>
      </c>
      <c r="AE92" s="259">
        <v>0</v>
      </c>
      <c r="AF92" s="252">
        <v>0</v>
      </c>
      <c r="AG92" s="252">
        <v>0</v>
      </c>
      <c r="AH92" s="267">
        <v>0</v>
      </c>
      <c r="AI92" s="275">
        <v>0</v>
      </c>
      <c r="AJ92" s="252">
        <v>0</v>
      </c>
      <c r="AK92" s="252">
        <v>0</v>
      </c>
      <c r="AL92" s="252">
        <v>0</v>
      </c>
      <c r="AM92" s="275">
        <v>0</v>
      </c>
      <c r="AN92" s="252">
        <v>0</v>
      </c>
      <c r="AO92" s="252">
        <v>0</v>
      </c>
      <c r="AP92" s="252">
        <v>0</v>
      </c>
      <c r="AQ92" s="259">
        <v>0</v>
      </c>
      <c r="AR92" s="252">
        <v>0</v>
      </c>
      <c r="AS92" s="252">
        <v>0</v>
      </c>
      <c r="AT92" s="252">
        <v>0</v>
      </c>
      <c r="AU92" s="275">
        <v>0</v>
      </c>
      <c r="AV92" s="252">
        <v>0</v>
      </c>
      <c r="AW92" s="252">
        <v>0</v>
      </c>
      <c r="AX92" s="267">
        <v>0</v>
      </c>
      <c r="AY92" s="259">
        <v>0</v>
      </c>
      <c r="AZ92" s="252">
        <v>0</v>
      </c>
      <c r="BA92" s="252">
        <v>0</v>
      </c>
      <c r="BB92" s="252">
        <v>0</v>
      </c>
      <c r="BC92" s="259">
        <v>0</v>
      </c>
      <c r="BD92" s="252">
        <v>0</v>
      </c>
      <c r="BE92" s="252">
        <v>0</v>
      </c>
      <c r="BF92" s="252">
        <v>0</v>
      </c>
      <c r="BG92" s="259">
        <v>0</v>
      </c>
      <c r="BH92" s="252">
        <v>0</v>
      </c>
      <c r="BI92" s="252">
        <v>0</v>
      </c>
      <c r="BJ92" s="252">
        <v>0</v>
      </c>
      <c r="BK92" s="619"/>
      <c r="BL92" s="111"/>
      <c r="BM92" s="111"/>
      <c r="BN92" s="111"/>
      <c r="BO92" s="112"/>
      <c r="BP92" s="113"/>
      <c r="BQ92" s="114"/>
      <c r="BR92" s="114"/>
      <c r="BS92" s="115"/>
      <c r="BT92" s="113"/>
      <c r="BU92" s="114"/>
      <c r="BV92" s="114"/>
      <c r="BW92" s="115"/>
      <c r="BX92" s="113"/>
      <c r="BY92" s="114"/>
      <c r="BZ92" s="114"/>
      <c r="CA92" s="114"/>
      <c r="CB92" s="113"/>
      <c r="CC92" s="114"/>
      <c r="CD92" s="114"/>
      <c r="CE92" s="114"/>
      <c r="CF92" s="113"/>
      <c r="CG92" s="114"/>
      <c r="CH92" s="114"/>
      <c r="CI92" s="114"/>
      <c r="CJ92" s="113"/>
      <c r="CK92" s="114"/>
      <c r="CL92" s="114"/>
      <c r="CM92" s="406"/>
      <c r="CN92" s="113"/>
      <c r="CO92" s="114"/>
      <c r="CP92" s="114"/>
      <c r="CQ92" s="114"/>
      <c r="CR92" s="472"/>
      <c r="CS92" s="114"/>
      <c r="CT92" s="114"/>
      <c r="CU92" s="114"/>
      <c r="CV92" s="113"/>
      <c r="CW92" s="114"/>
      <c r="CX92" s="114"/>
      <c r="CY92" s="114"/>
      <c r="CZ92" s="113"/>
      <c r="DA92" s="114"/>
      <c r="DB92" s="114"/>
      <c r="DC92" s="114"/>
      <c r="DD92" s="113"/>
      <c r="DE92" s="114"/>
      <c r="DF92" s="114"/>
      <c r="DG92" s="114"/>
      <c r="DH92" s="113"/>
      <c r="DI92" s="114"/>
      <c r="DJ92" s="114"/>
      <c r="DK92" s="114"/>
      <c r="DL92" s="113"/>
      <c r="DM92" s="114"/>
      <c r="DN92" s="114"/>
      <c r="DO92" s="114"/>
      <c r="DP92" s="113"/>
      <c r="DQ92" s="114"/>
      <c r="DR92" s="114"/>
      <c r="DS92" s="114"/>
      <c r="DT92" s="91"/>
      <c r="DU92" s="109"/>
      <c r="DV92" s="109"/>
      <c r="DW92" s="109"/>
      <c r="DX92" s="340"/>
      <c r="DY92" s="341"/>
      <c r="DZ92" s="109"/>
      <c r="EA92" s="109"/>
      <c r="EB92" s="340"/>
      <c r="EC92" s="341"/>
      <c r="ED92" s="109"/>
      <c r="EE92" s="109"/>
      <c r="EF92" s="109"/>
      <c r="EG92" s="341"/>
      <c r="EH92" s="109"/>
      <c r="EI92" s="109"/>
      <c r="EJ92" s="109"/>
      <c r="EK92" s="420"/>
      <c r="EL92" s="109"/>
      <c r="EM92" s="109"/>
      <c r="EN92" s="109"/>
      <c r="EO92" s="341"/>
      <c r="EP92" s="109"/>
      <c r="EQ92" s="109"/>
      <c r="ER92" s="109"/>
      <c r="ES92" s="420"/>
      <c r="ET92" s="109"/>
      <c r="EU92" s="109"/>
      <c r="EV92" s="109"/>
      <c r="EW92" s="341"/>
      <c r="EX92" s="109"/>
      <c r="EY92" s="109"/>
      <c r="EZ92" s="109"/>
      <c r="FA92" s="341"/>
      <c r="FB92" s="109"/>
      <c r="FC92" s="109"/>
      <c r="FD92" s="109"/>
      <c r="FE92" s="341"/>
      <c r="FF92" s="109"/>
      <c r="FG92" s="109"/>
      <c r="FH92" s="109"/>
      <c r="FI92" s="341"/>
      <c r="FJ92" s="109"/>
      <c r="FK92" s="109"/>
      <c r="FL92" s="109"/>
      <c r="FM92" s="63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</row>
    <row r="93" spans="1:202" ht="17.25" customHeight="1">
      <c r="A93" s="116" t="s">
        <v>132</v>
      </c>
      <c r="B93" s="117" t="s">
        <v>138</v>
      </c>
      <c r="C93" s="252">
        <f>C152</f>
        <v>36.532554</v>
      </c>
      <c r="D93" s="252">
        <f aca="true" t="shared" si="304" ref="D93:AF93">D152</f>
        <v>35.83844600000001</v>
      </c>
      <c r="E93" s="252">
        <f t="shared" si="304"/>
        <v>37.50084299999999</v>
      </c>
      <c r="F93" s="260">
        <f t="shared" si="304"/>
        <v>42.61399899999999</v>
      </c>
      <c r="G93" s="259">
        <f t="shared" si="304"/>
        <v>38.9</v>
      </c>
      <c r="H93" s="252">
        <f t="shared" si="304"/>
        <v>34.698308000000004</v>
      </c>
      <c r="I93" s="252">
        <f t="shared" si="304"/>
        <v>35.10169199999999</v>
      </c>
      <c r="J93" s="260">
        <f t="shared" si="304"/>
        <v>48.30000000000001</v>
      </c>
      <c r="K93" s="259">
        <f t="shared" si="304"/>
        <v>41.6</v>
      </c>
      <c r="L93" s="252">
        <f t="shared" si="304"/>
        <v>40.800000000000004</v>
      </c>
      <c r="M93" s="252">
        <f t="shared" si="304"/>
        <v>47.80253000000001</v>
      </c>
      <c r="N93" s="260">
        <f t="shared" si="304"/>
        <v>46.29746999999997</v>
      </c>
      <c r="O93" s="259">
        <f t="shared" si="304"/>
        <v>39.39963</v>
      </c>
      <c r="P93" s="252">
        <f t="shared" si="304"/>
        <v>46.096295</v>
      </c>
      <c r="Q93" s="252">
        <f t="shared" si="304"/>
        <v>44.03298100000001</v>
      </c>
      <c r="R93" s="252">
        <f t="shared" si="304"/>
        <v>40.65323000000001</v>
      </c>
      <c r="S93" s="259">
        <f t="shared" si="304"/>
        <v>42.6</v>
      </c>
      <c r="T93" s="252">
        <f t="shared" si="304"/>
        <v>41.516527</v>
      </c>
      <c r="U93" s="252">
        <f t="shared" si="304"/>
        <v>42.29849999999998</v>
      </c>
      <c r="V93" s="252">
        <f t="shared" si="304"/>
        <v>37.71773000000002</v>
      </c>
      <c r="W93" s="259">
        <f t="shared" si="304"/>
        <v>38.2</v>
      </c>
      <c r="X93" s="252">
        <f t="shared" si="304"/>
        <v>40.81981499999999</v>
      </c>
      <c r="Y93" s="252">
        <f t="shared" si="304"/>
        <v>49.680184999999994</v>
      </c>
      <c r="Z93" s="252">
        <f t="shared" si="304"/>
        <v>45.70000000000002</v>
      </c>
      <c r="AA93" s="259">
        <f t="shared" si="304"/>
        <v>51.989058</v>
      </c>
      <c r="AB93" s="252">
        <f t="shared" si="304"/>
        <v>46.594699000000006</v>
      </c>
      <c r="AC93" s="252">
        <f t="shared" si="304"/>
        <v>44.84799099999999</v>
      </c>
      <c r="AD93" s="252">
        <f t="shared" si="304"/>
        <v>44.38267699999999</v>
      </c>
      <c r="AE93" s="259">
        <f t="shared" si="304"/>
        <v>36.852281</v>
      </c>
      <c r="AF93" s="252">
        <f t="shared" si="304"/>
        <v>38.838328</v>
      </c>
      <c r="AG93" s="252">
        <f aca="true" t="shared" si="305" ref="AG93:AI94">AG152</f>
        <v>44.52866800000002</v>
      </c>
      <c r="AH93" s="267">
        <f t="shared" si="305"/>
        <v>42.08890399999999</v>
      </c>
      <c r="AI93" s="275">
        <f t="shared" si="305"/>
        <v>45.994707</v>
      </c>
      <c r="AJ93" s="252">
        <f aca="true" t="shared" si="306" ref="AJ93:AM94">AJ152</f>
        <v>41.705293000000005</v>
      </c>
      <c r="AK93" s="252">
        <f t="shared" si="306"/>
        <v>45.95767199999998</v>
      </c>
      <c r="AL93" s="252">
        <f t="shared" si="306"/>
        <v>46.93655300000001</v>
      </c>
      <c r="AM93" s="275">
        <f t="shared" si="306"/>
        <v>46.915419</v>
      </c>
      <c r="AN93" s="252">
        <f aca="true" t="shared" si="307" ref="AN93:AP94">AN152</f>
        <v>48.393187</v>
      </c>
      <c r="AO93" s="252">
        <f t="shared" si="307"/>
        <v>51.236626</v>
      </c>
      <c r="AP93" s="252">
        <f t="shared" si="307"/>
        <v>46.60974</v>
      </c>
      <c r="AQ93" s="259">
        <f aca="true" t="shared" si="308" ref="AQ93:AS94">AQ152</f>
        <v>51.541833</v>
      </c>
      <c r="AR93" s="252">
        <f t="shared" si="308"/>
        <v>52.034186000000005</v>
      </c>
      <c r="AS93" s="252">
        <f t="shared" si="308"/>
        <v>56.07055300000002</v>
      </c>
      <c r="AT93" s="252">
        <f aca="true" t="shared" si="309" ref="AT93:AV94">AT152</f>
        <v>46.54333799999998</v>
      </c>
      <c r="AU93" s="275">
        <f t="shared" si="309"/>
        <v>45.04240500000002</v>
      </c>
      <c r="AV93" s="252">
        <f t="shared" si="309"/>
        <v>30.374488999999983</v>
      </c>
      <c r="AW93" s="252">
        <f aca="true" t="shared" si="310" ref="AW93:AZ94">AW152</f>
        <v>51.1169</v>
      </c>
      <c r="AX93" s="267">
        <f t="shared" si="310"/>
        <v>47.80281999999998</v>
      </c>
      <c r="AY93" s="259">
        <f t="shared" si="310"/>
        <v>49.88485000000001</v>
      </c>
      <c r="AZ93" s="252">
        <f t="shared" si="310"/>
        <v>51.30743999999999</v>
      </c>
      <c r="BA93" s="252">
        <f aca="true" t="shared" si="311" ref="BA93:BD94">BA152</f>
        <v>53.15444</v>
      </c>
      <c r="BB93" s="252">
        <f t="shared" si="311"/>
        <v>44.839940000000034</v>
      </c>
      <c r="BC93" s="259">
        <f t="shared" si="311"/>
        <v>45.1959</v>
      </c>
      <c r="BD93" s="252">
        <f t="shared" si="311"/>
        <v>45.392360999999994</v>
      </c>
      <c r="BE93" s="252">
        <f aca="true" t="shared" si="312" ref="BE93:BH94">BE152</f>
        <v>33.389264000000004</v>
      </c>
      <c r="BF93" s="252">
        <f t="shared" si="312"/>
        <v>35.16322999999999</v>
      </c>
      <c r="BG93" s="259">
        <f t="shared" si="312"/>
        <v>36.4727</v>
      </c>
      <c r="BH93" s="252">
        <f t="shared" si="312"/>
        <v>39.20918800000001</v>
      </c>
      <c r="BI93" s="252">
        <f>BI152</f>
        <v>45.127660000000006</v>
      </c>
      <c r="BJ93" s="252">
        <f>BJ152</f>
        <v>42.77356699999997</v>
      </c>
      <c r="BK93" s="619"/>
      <c r="BL93" s="121">
        <f aca="true" t="shared" si="313" ref="BL93:CN93">BL152</f>
        <v>37.35117399999999</v>
      </c>
      <c r="BM93" s="121">
        <f t="shared" si="313"/>
        <v>34.732203000000005</v>
      </c>
      <c r="BN93" s="121">
        <f t="shared" si="313"/>
        <v>37.73134599999999</v>
      </c>
      <c r="BO93" s="122">
        <f t="shared" si="313"/>
        <v>42.51259900000002</v>
      </c>
      <c r="BP93" s="123">
        <f t="shared" si="313"/>
        <v>37.6</v>
      </c>
      <c r="BQ93" s="124">
        <f t="shared" si="313"/>
        <v>35.609868</v>
      </c>
      <c r="BR93" s="124">
        <f t="shared" si="313"/>
        <v>34.590132000000004</v>
      </c>
      <c r="BS93" s="125">
        <f t="shared" si="313"/>
        <v>47.89999999999998</v>
      </c>
      <c r="BT93" s="123">
        <f t="shared" si="313"/>
        <v>41.669708</v>
      </c>
      <c r="BU93" s="124">
        <f t="shared" si="313"/>
        <v>41.312155000000004</v>
      </c>
      <c r="BV93" s="124">
        <f t="shared" si="313"/>
        <v>46.81813700000001</v>
      </c>
      <c r="BW93" s="125">
        <f t="shared" si="313"/>
        <v>45.48799999999997</v>
      </c>
      <c r="BX93" s="123">
        <f t="shared" si="313"/>
        <v>39.8</v>
      </c>
      <c r="BY93" s="124">
        <f t="shared" si="313"/>
        <v>45.949830000000006</v>
      </c>
      <c r="BZ93" s="124">
        <f t="shared" si="313"/>
        <v>43.950169999999986</v>
      </c>
      <c r="CA93" s="124">
        <f t="shared" si="313"/>
        <v>40.31759600000001</v>
      </c>
      <c r="CB93" s="123">
        <f t="shared" si="313"/>
        <v>42.5</v>
      </c>
      <c r="CC93" s="124">
        <f t="shared" si="313"/>
        <v>41.3</v>
      </c>
      <c r="CD93" s="124">
        <f t="shared" si="313"/>
        <v>41.633787</v>
      </c>
      <c r="CE93" s="124">
        <f t="shared" si="313"/>
        <v>38.12621300000001</v>
      </c>
      <c r="CF93" s="123">
        <f t="shared" si="313"/>
        <v>38.16138</v>
      </c>
      <c r="CG93" s="124">
        <f t="shared" si="313"/>
        <v>40.247925</v>
      </c>
      <c r="CH93" s="124">
        <f t="shared" si="313"/>
        <v>49.190694999999984</v>
      </c>
      <c r="CI93" s="124">
        <f t="shared" si="313"/>
        <v>46.1</v>
      </c>
      <c r="CJ93" s="123">
        <f t="shared" si="313"/>
        <v>51.715931</v>
      </c>
      <c r="CK93" s="124">
        <f t="shared" si="313"/>
        <v>46.18492299999991</v>
      </c>
      <c r="CL93" s="124">
        <f t="shared" si="313"/>
        <v>44.70377400000008</v>
      </c>
      <c r="CM93" s="407">
        <f t="shared" si="313"/>
        <v>43.893095000000315</v>
      </c>
      <c r="CN93" s="123">
        <f t="shared" si="313"/>
        <v>36.528686</v>
      </c>
      <c r="CO93" s="124">
        <f aca="true" t="shared" si="314" ref="CO93:CT93">CO152</f>
        <v>38.671168</v>
      </c>
      <c r="CP93" s="124">
        <f t="shared" si="314"/>
        <v>43.895124</v>
      </c>
      <c r="CQ93" s="124">
        <f t="shared" si="314"/>
        <v>41.737525</v>
      </c>
      <c r="CR93" s="473">
        <f t="shared" si="314"/>
        <v>46.127750000000006</v>
      </c>
      <c r="CS93" s="124">
        <f t="shared" si="314"/>
        <v>41.1913</v>
      </c>
      <c r="CT93" s="124">
        <f t="shared" si="314"/>
        <v>45.37599499999999</v>
      </c>
      <c r="CU93" s="124">
        <f aca="true" t="shared" si="315" ref="CU93:CZ93">CU152</f>
        <v>46.26168100000001</v>
      </c>
      <c r="CV93" s="123">
        <f t="shared" si="315"/>
        <v>47.129478999999996</v>
      </c>
      <c r="CW93" s="124">
        <f t="shared" si="315"/>
        <v>47.69955700000002</v>
      </c>
      <c r="CX93" s="124">
        <f t="shared" si="315"/>
        <v>50.23587599999997</v>
      </c>
      <c r="CY93" s="124">
        <f t="shared" si="315"/>
        <v>46.52993000000003</v>
      </c>
      <c r="CZ93" s="123">
        <f t="shared" si="315"/>
        <v>50.866046999999995</v>
      </c>
      <c r="DA93" s="124">
        <f aca="true" t="shared" si="316" ref="DA93:DF93">DA152</f>
        <v>52.337700999999996</v>
      </c>
      <c r="DB93" s="124">
        <f t="shared" si="316"/>
        <v>55.176436999999964</v>
      </c>
      <c r="DC93" s="124">
        <f t="shared" si="316"/>
        <v>45.812826000000015</v>
      </c>
      <c r="DD93" s="123">
        <f t="shared" si="316"/>
        <v>45.47991</v>
      </c>
      <c r="DE93" s="124">
        <f t="shared" si="316"/>
        <v>29.579995000000004</v>
      </c>
      <c r="DF93" s="124">
        <f t="shared" si="316"/>
        <v>49.828769999999984</v>
      </c>
      <c r="DG93" s="124">
        <f aca="true" t="shared" si="317" ref="DG93:DL93">DG152</f>
        <v>46.51842000000003</v>
      </c>
      <c r="DH93" s="123">
        <f t="shared" si="317"/>
        <v>48.34293</v>
      </c>
      <c r="DI93" s="124">
        <f t="shared" si="317"/>
        <v>50.08504</v>
      </c>
      <c r="DJ93" s="124">
        <f t="shared" si="317"/>
        <v>51.70674</v>
      </c>
      <c r="DK93" s="124">
        <f t="shared" si="317"/>
        <v>42.70776000000003</v>
      </c>
      <c r="DL93" s="123">
        <f t="shared" si="317"/>
        <v>43.1947</v>
      </c>
      <c r="DM93" s="124">
        <f aca="true" t="shared" si="318" ref="DM93:DR93">DM152</f>
        <v>43.574861</v>
      </c>
      <c r="DN93" s="124">
        <f t="shared" si="318"/>
        <v>31.343264000000005</v>
      </c>
      <c r="DO93" s="124">
        <f t="shared" si="318"/>
        <v>33.30623000000001</v>
      </c>
      <c r="DP93" s="123">
        <f t="shared" si="318"/>
        <v>34.5279</v>
      </c>
      <c r="DQ93" s="124">
        <f t="shared" si="318"/>
        <v>37.46398799999999</v>
      </c>
      <c r="DR93" s="124">
        <f t="shared" si="318"/>
        <v>42.73829</v>
      </c>
      <c r="DS93" s="124">
        <f>DS152</f>
        <v>39.37193700000001</v>
      </c>
      <c r="DT93" s="91"/>
      <c r="DU93" s="109">
        <v>42.5</v>
      </c>
      <c r="DV93" s="109">
        <v>41.3</v>
      </c>
      <c r="DW93" s="109">
        <v>41.60000000000001</v>
      </c>
      <c r="DX93" s="340">
        <v>38.16</v>
      </c>
      <c r="DY93" s="341">
        <v>38.161379999999994</v>
      </c>
      <c r="DZ93" s="109">
        <f>FQ93-DY93</f>
        <v>40.24792499999985</v>
      </c>
      <c r="EA93" s="109">
        <f>FR93-FQ93</f>
        <v>49.20554999999955</v>
      </c>
      <c r="EB93" s="340">
        <f>FS93-FR93</f>
        <v>46.085145000000594</v>
      </c>
      <c r="EC93" s="341">
        <v>51.715931000000175</v>
      </c>
      <c r="ED93" s="109">
        <f>FT93-EC93</f>
        <v>46.184922999999806</v>
      </c>
      <c r="EE93" s="109">
        <f>FU93-EC93-ED93</f>
        <v>44.70377800000028</v>
      </c>
      <c r="EF93" s="109">
        <f>FV93-EE93-ED93-EC93</f>
        <v>43.893090999999494</v>
      </c>
      <c r="EG93" s="341">
        <v>36.52868599999999</v>
      </c>
      <c r="EH93" s="109">
        <f>FW93-EG93</f>
        <v>38.67116800000021</v>
      </c>
      <c r="EI93" s="109">
        <f>FX93-EH93-EG93</f>
        <v>44.0441459999998</v>
      </c>
      <c r="EJ93" s="109">
        <f>FY93-EI93-EH93-EG93</f>
        <v>41.588503</v>
      </c>
      <c r="EK93" s="420">
        <v>46.12775</v>
      </c>
      <c r="EL93" s="109">
        <f>FZ93-EK93</f>
        <v>41.19129999999999</v>
      </c>
      <c r="EM93" s="109">
        <f>GA93-EL93-EK93</f>
        <v>45.39799500000003</v>
      </c>
      <c r="EN93" s="109">
        <f>GB93-EM93-EL93-EK93</f>
        <v>46.261681</v>
      </c>
      <c r="EO93" s="341">
        <v>47.129479</v>
      </c>
      <c r="EP93" s="109">
        <f>GC93-EO93</f>
        <v>47.699557</v>
      </c>
      <c r="EQ93" s="109">
        <f>GD93-GC93</f>
        <v>50.23587600000002</v>
      </c>
      <c r="ER93" s="109">
        <f>GE93-GD93</f>
        <v>46.52992999999998</v>
      </c>
      <c r="ES93" s="420">
        <v>50.866047</v>
      </c>
      <c r="ET93" s="109">
        <f>GF93-ES93</f>
        <v>52.337601000000014</v>
      </c>
      <c r="EU93" s="109">
        <f>GG93-ET93-ES93</f>
        <v>55.176536999999975</v>
      </c>
      <c r="EV93" s="109">
        <f>GH93-GG93</f>
        <v>45.81282599999997</v>
      </c>
      <c r="EW93" s="341">
        <v>45.479910000000004</v>
      </c>
      <c r="EX93" s="109">
        <f>GI93-EW93</f>
        <v>29.579994999999997</v>
      </c>
      <c r="EY93" s="109">
        <f>GJ93-EX93-EW93</f>
        <v>49.828770000000006</v>
      </c>
      <c r="EZ93" s="109">
        <f>GK93-GJ93</f>
        <v>46.51841999999999</v>
      </c>
      <c r="FA93" s="341">
        <v>48.34293</v>
      </c>
      <c r="FB93" s="109">
        <f>GL93-FA93</f>
        <v>50.08504</v>
      </c>
      <c r="FC93" s="109">
        <f>GM93-GL93</f>
        <v>51.70673999999998</v>
      </c>
      <c r="FD93" s="109">
        <f>GN93-GM93</f>
        <v>42.70775999999998</v>
      </c>
      <c r="FE93" s="341">
        <v>43.1947</v>
      </c>
      <c r="FF93" s="109">
        <f>GO93-FE93</f>
        <v>43.574861</v>
      </c>
      <c r="FG93" s="109">
        <f>GP93-GO93</f>
        <v>31.343264000000005</v>
      </c>
      <c r="FH93" s="109">
        <f>GQ93-GP93</f>
        <v>33.30622999999996</v>
      </c>
      <c r="FI93" s="341">
        <v>34.527899999999995</v>
      </c>
      <c r="FJ93" s="109">
        <f>GR93-FI93</f>
        <v>37.46398800000001</v>
      </c>
      <c r="FK93" s="109">
        <f>GS93-GR93</f>
        <v>42.73828999999999</v>
      </c>
      <c r="FL93" s="109">
        <f>GT93-GS93</f>
        <v>39.37193700000003</v>
      </c>
      <c r="FM93" s="63"/>
      <c r="FN93" s="110">
        <f aca="true" t="shared" si="319" ref="FN93:FW93">FN43</f>
        <v>83.8</v>
      </c>
      <c r="FO93" s="110">
        <f t="shared" si="319"/>
        <v>125.4</v>
      </c>
      <c r="FP93" s="110">
        <f t="shared" si="319"/>
        <v>163.56</v>
      </c>
      <c r="FQ93" s="110">
        <f t="shared" si="319"/>
        <v>78.40930499999985</v>
      </c>
      <c r="FR93" s="110">
        <f t="shared" si="319"/>
        <v>127.6148549999994</v>
      </c>
      <c r="FS93" s="110">
        <f t="shared" si="319"/>
        <v>173.7</v>
      </c>
      <c r="FT93" s="110">
        <f t="shared" si="319"/>
        <v>97.90085399999998</v>
      </c>
      <c r="FU93" s="110">
        <f t="shared" si="319"/>
        <v>142.60463200000027</v>
      </c>
      <c r="FV93" s="110">
        <f t="shared" si="319"/>
        <v>186.49772299999975</v>
      </c>
      <c r="FW93" s="110">
        <f t="shared" si="319"/>
        <v>75.1998540000002</v>
      </c>
      <c r="FX93" s="110">
        <v>119.244</v>
      </c>
      <c r="FY93" s="110">
        <v>160.832503</v>
      </c>
      <c r="FZ93" s="110">
        <v>87.31904999999999</v>
      </c>
      <c r="GA93" s="110">
        <v>132.717045</v>
      </c>
      <c r="GB93" s="110">
        <v>178.97872600000002</v>
      </c>
      <c r="GC93" s="110">
        <v>94.829036</v>
      </c>
      <c r="GD93" s="110">
        <v>145.06491200000002</v>
      </c>
      <c r="GE93" s="110">
        <v>191.594842</v>
      </c>
      <c r="GF93" s="110">
        <v>103.20364800000002</v>
      </c>
      <c r="GG93" s="110">
        <v>158.38018499999998</v>
      </c>
      <c r="GH93" s="110">
        <v>204.19301099999996</v>
      </c>
      <c r="GI93" s="110">
        <v>75.059905</v>
      </c>
      <c r="GJ93" s="110">
        <v>124.888675</v>
      </c>
      <c r="GK93" s="110">
        <v>171.407095</v>
      </c>
      <c r="GL93" s="110">
        <v>98.42797</v>
      </c>
      <c r="GM93" s="110">
        <v>150.13470999999998</v>
      </c>
      <c r="GN93" s="110">
        <v>192.84246999999996</v>
      </c>
      <c r="GO93" s="110">
        <v>86.769561</v>
      </c>
      <c r="GP93" s="110">
        <v>118.112825</v>
      </c>
      <c r="GQ93" s="110">
        <v>151.41905499999996</v>
      </c>
      <c r="GR93" s="110">
        <v>71.991888</v>
      </c>
      <c r="GS93" s="110">
        <v>114.730178</v>
      </c>
      <c r="GT93" s="110">
        <v>154.10211500000003</v>
      </c>
    </row>
    <row r="94" spans="1:202" s="129" customFormat="1" ht="15" customHeight="1">
      <c r="A94" s="99"/>
      <c r="B94" s="100" t="s">
        <v>93</v>
      </c>
      <c r="C94" s="257">
        <f>C153</f>
        <v>0.2549</v>
      </c>
      <c r="D94" s="257">
        <f aca="true" t="shared" si="320" ref="D94:AF94">D153</f>
        <v>0.25249999999999995</v>
      </c>
      <c r="E94" s="257">
        <f t="shared" si="320"/>
        <v>0.1875</v>
      </c>
      <c r="F94" s="258">
        <f t="shared" si="320"/>
        <v>0.18620000000000003</v>
      </c>
      <c r="G94" s="256">
        <f t="shared" si="320"/>
        <v>0.1</v>
      </c>
      <c r="H94" s="257">
        <f t="shared" si="320"/>
        <v>0.24789999999999998</v>
      </c>
      <c r="I94" s="257">
        <f t="shared" si="320"/>
        <v>0.15209999999999999</v>
      </c>
      <c r="J94" s="258">
        <f t="shared" si="320"/>
        <v>530.1427812</v>
      </c>
      <c r="K94" s="256">
        <f t="shared" si="320"/>
        <v>0.2</v>
      </c>
      <c r="L94" s="257">
        <f t="shared" si="320"/>
        <v>0.2349</v>
      </c>
      <c r="M94" s="257">
        <f t="shared" si="320"/>
        <v>0.20559999999999995</v>
      </c>
      <c r="N94" s="258">
        <f t="shared" si="320"/>
        <v>0.15950000000000014</v>
      </c>
      <c r="O94" s="256">
        <f t="shared" si="320"/>
        <v>0.1638</v>
      </c>
      <c r="P94" s="257">
        <f t="shared" si="320"/>
        <v>0</v>
      </c>
      <c r="Q94" s="257">
        <f t="shared" si="320"/>
        <v>0.5362</v>
      </c>
      <c r="R94" s="258">
        <f t="shared" si="320"/>
        <v>0.2018000000000001</v>
      </c>
      <c r="S94" s="256">
        <f t="shared" si="320"/>
        <v>0.2</v>
      </c>
      <c r="T94" s="257">
        <f t="shared" si="320"/>
        <v>0.30460000000000004</v>
      </c>
      <c r="U94" s="257">
        <f t="shared" si="320"/>
        <v>0.34049999999999997</v>
      </c>
      <c r="V94" s="257">
        <f t="shared" si="320"/>
        <v>0.2359</v>
      </c>
      <c r="W94" s="256">
        <f t="shared" si="320"/>
        <v>0.2236</v>
      </c>
      <c r="X94" s="257">
        <f t="shared" si="320"/>
        <v>0.20720000000000002</v>
      </c>
      <c r="Y94" s="257">
        <f t="shared" si="320"/>
        <v>0.2691999999999999</v>
      </c>
      <c r="Z94" s="257">
        <f t="shared" si="320"/>
        <v>0.2000000000000001</v>
      </c>
      <c r="AA94" s="256">
        <f t="shared" si="320"/>
        <v>0.2471</v>
      </c>
      <c r="AB94" s="257">
        <f t="shared" si="320"/>
        <v>0.23300000000000004</v>
      </c>
      <c r="AC94" s="257">
        <f t="shared" si="320"/>
        <v>0.2524</v>
      </c>
      <c r="AD94" s="257">
        <f t="shared" si="320"/>
        <v>0.3015</v>
      </c>
      <c r="AE94" s="256">
        <f t="shared" si="320"/>
        <v>0.2962</v>
      </c>
      <c r="AF94" s="257">
        <f t="shared" si="320"/>
        <v>0.26059999999999994</v>
      </c>
      <c r="AG94" s="257">
        <f t="shared" si="305"/>
        <v>0.27680000000000005</v>
      </c>
      <c r="AH94" s="268">
        <f t="shared" si="305"/>
        <v>0.39560000000000006</v>
      </c>
      <c r="AI94" s="465">
        <f t="shared" si="305"/>
        <v>0.3235</v>
      </c>
      <c r="AJ94" s="257">
        <f t="shared" si="306"/>
        <v>0.4105</v>
      </c>
      <c r="AK94" s="257">
        <f t="shared" si="306"/>
        <v>0.3126</v>
      </c>
      <c r="AL94" s="257">
        <f t="shared" si="306"/>
        <v>0.5678000000000001</v>
      </c>
      <c r="AM94" s="465">
        <f t="shared" si="306"/>
        <v>0.3351</v>
      </c>
      <c r="AN94" s="257">
        <f t="shared" si="307"/>
        <v>0.2454</v>
      </c>
      <c r="AO94" s="257">
        <f t="shared" si="307"/>
        <v>0.22599999999999992</v>
      </c>
      <c r="AP94" s="257">
        <f t="shared" si="307"/>
        <v>0.31550000000000017</v>
      </c>
      <c r="AQ94" s="256">
        <f t="shared" si="308"/>
        <v>0.4204</v>
      </c>
      <c r="AR94" s="257">
        <f t="shared" si="308"/>
        <v>0.3963</v>
      </c>
      <c r="AS94" s="257">
        <f t="shared" si="308"/>
        <v>0.6704000000000002</v>
      </c>
      <c r="AT94" s="257">
        <f t="shared" si="309"/>
        <v>0.5494</v>
      </c>
      <c r="AU94" s="465">
        <f t="shared" si="309"/>
        <v>0.59</v>
      </c>
      <c r="AV94" s="257">
        <f t="shared" si="309"/>
        <v>0.7640000000000001</v>
      </c>
      <c r="AW94" s="257">
        <f t="shared" si="310"/>
        <v>0.9579999999999996</v>
      </c>
      <c r="AX94" s="268">
        <f t="shared" si="310"/>
        <v>1.3010000000000002</v>
      </c>
      <c r="AY94" s="256">
        <f t="shared" si="310"/>
        <v>1.287</v>
      </c>
      <c r="AZ94" s="257">
        <f t="shared" si="310"/>
        <v>1.047</v>
      </c>
      <c r="BA94" s="257">
        <f t="shared" si="311"/>
        <v>1.453</v>
      </c>
      <c r="BB94" s="257">
        <f t="shared" si="311"/>
        <v>1.8329999999999995</v>
      </c>
      <c r="BC94" s="256">
        <f t="shared" si="311"/>
        <v>2.385</v>
      </c>
      <c r="BD94" s="257">
        <f t="shared" si="311"/>
        <v>2.1445</v>
      </c>
      <c r="BE94" s="257">
        <f t="shared" si="312"/>
        <v>1.9050000000000002</v>
      </c>
      <c r="BF94" s="257">
        <f t="shared" si="312"/>
        <v>1.8529999999999998</v>
      </c>
      <c r="BG94" s="256">
        <f t="shared" si="312"/>
        <v>1.9289999999999998</v>
      </c>
      <c r="BH94" s="257">
        <f t="shared" si="312"/>
        <v>1.9120000000000004</v>
      </c>
      <c r="BI94" s="257">
        <f>BI153</f>
        <v>2.048000000000001</v>
      </c>
      <c r="BJ94" s="257">
        <f>BJ153</f>
        <v>2.6039999999999983</v>
      </c>
      <c r="BK94" s="619"/>
      <c r="BL94" s="111"/>
      <c r="BM94" s="111"/>
      <c r="BN94" s="111"/>
      <c r="BO94" s="112"/>
      <c r="BP94" s="113"/>
      <c r="BQ94" s="114"/>
      <c r="BR94" s="114"/>
      <c r="BS94" s="115"/>
      <c r="BT94" s="113"/>
      <c r="BU94" s="114"/>
      <c r="BV94" s="114"/>
      <c r="BW94" s="115"/>
      <c r="BX94" s="113"/>
      <c r="BY94" s="114"/>
      <c r="BZ94" s="114"/>
      <c r="CA94" s="114"/>
      <c r="CB94" s="113"/>
      <c r="CC94" s="114"/>
      <c r="CD94" s="114"/>
      <c r="CE94" s="114"/>
      <c r="CF94" s="113"/>
      <c r="CG94" s="114"/>
      <c r="CH94" s="114"/>
      <c r="CI94" s="114"/>
      <c r="CJ94" s="113"/>
      <c r="CK94" s="114"/>
      <c r="CL94" s="114"/>
      <c r="CM94" s="406"/>
      <c r="CN94" s="113"/>
      <c r="CO94" s="114"/>
      <c r="CP94" s="114"/>
      <c r="CQ94" s="114"/>
      <c r="CR94" s="472"/>
      <c r="CS94" s="114"/>
      <c r="CT94" s="114"/>
      <c r="CU94" s="114"/>
      <c r="CV94" s="113"/>
      <c r="CW94" s="114"/>
      <c r="CX94" s="114"/>
      <c r="CY94" s="114"/>
      <c r="CZ94" s="113"/>
      <c r="DA94" s="114"/>
      <c r="DB94" s="114"/>
      <c r="DC94" s="114"/>
      <c r="DD94" s="113"/>
      <c r="DE94" s="114"/>
      <c r="DF94" s="114"/>
      <c r="DG94" s="114"/>
      <c r="DH94" s="113"/>
      <c r="DI94" s="114"/>
      <c r="DJ94" s="114"/>
      <c r="DK94" s="114"/>
      <c r="DL94" s="113"/>
      <c r="DM94" s="114"/>
      <c r="DN94" s="114"/>
      <c r="DO94" s="114"/>
      <c r="DP94" s="113"/>
      <c r="DQ94" s="114"/>
      <c r="DR94" s="114"/>
      <c r="DS94" s="114"/>
      <c r="DT94" s="500"/>
      <c r="DU94" s="126"/>
      <c r="DV94" s="126"/>
      <c r="DW94" s="126"/>
      <c r="DX94" s="342"/>
      <c r="DY94" s="343"/>
      <c r="DZ94" s="126"/>
      <c r="EA94" s="126"/>
      <c r="EB94" s="342"/>
      <c r="EC94" s="343"/>
      <c r="ED94" s="126"/>
      <c r="EE94" s="126"/>
      <c r="EF94" s="126"/>
      <c r="EG94" s="343"/>
      <c r="EH94" s="126"/>
      <c r="EI94" s="126"/>
      <c r="EJ94" s="126"/>
      <c r="EK94" s="490"/>
      <c r="EL94" s="126"/>
      <c r="EM94" s="126"/>
      <c r="EN94" s="126"/>
      <c r="EO94" s="343"/>
      <c r="EP94" s="126"/>
      <c r="EQ94" s="126"/>
      <c r="ER94" s="126"/>
      <c r="ES94" s="490"/>
      <c r="ET94" s="126"/>
      <c r="EU94" s="126"/>
      <c r="EV94" s="126"/>
      <c r="EW94" s="343"/>
      <c r="EX94" s="126"/>
      <c r="EY94" s="126"/>
      <c r="EZ94" s="126"/>
      <c r="FA94" s="343"/>
      <c r="FB94" s="126"/>
      <c r="FC94" s="126"/>
      <c r="FD94" s="126"/>
      <c r="FE94" s="343"/>
      <c r="FF94" s="126"/>
      <c r="FG94" s="126"/>
      <c r="FH94" s="126"/>
      <c r="FI94" s="343"/>
      <c r="FJ94" s="126"/>
      <c r="FK94" s="126"/>
      <c r="FL94" s="126"/>
      <c r="FM94" s="127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</row>
    <row r="95" spans="1:202" ht="15.75">
      <c r="A95" s="70" t="s">
        <v>127</v>
      </c>
      <c r="B95" s="70" t="s">
        <v>130</v>
      </c>
      <c r="C95" s="254">
        <f>C97+C100+C101+C103</f>
        <v>167.7863661</v>
      </c>
      <c r="D95" s="254">
        <f aca="true" t="shared" si="321" ref="D95:AD95">D97+D100+D101+D103</f>
        <v>194.89139390000003</v>
      </c>
      <c r="E95" s="254">
        <f t="shared" si="321"/>
        <v>187.7827429</v>
      </c>
      <c r="F95" s="255">
        <f t="shared" si="321"/>
        <v>200.58453310000002</v>
      </c>
      <c r="G95" s="253">
        <f t="shared" si="321"/>
        <v>110.5</v>
      </c>
      <c r="H95" s="254">
        <f t="shared" si="321"/>
        <v>151.98301010000003</v>
      </c>
      <c r="I95" s="254">
        <f t="shared" si="321"/>
        <v>162.6169899</v>
      </c>
      <c r="J95" s="255">
        <f t="shared" si="321"/>
        <v>165.1570832</v>
      </c>
      <c r="K95" s="253">
        <f t="shared" si="321"/>
        <v>128.52088</v>
      </c>
      <c r="L95" s="254">
        <f t="shared" si="321"/>
        <v>182.01824410000003</v>
      </c>
      <c r="M95" s="254">
        <f t="shared" si="321"/>
        <v>180.6534892</v>
      </c>
      <c r="N95" s="255">
        <f t="shared" si="321"/>
        <v>184.2177222</v>
      </c>
      <c r="O95" s="253">
        <f t="shared" si="321"/>
        <v>156.06213909999997</v>
      </c>
      <c r="P95" s="254">
        <f t="shared" si="321"/>
        <v>168.43848990000004</v>
      </c>
      <c r="Q95" s="254">
        <f t="shared" si="321"/>
        <v>139.86835599999998</v>
      </c>
      <c r="R95" s="254">
        <f t="shared" si="321"/>
        <v>144.29122909999998</v>
      </c>
      <c r="S95" s="253">
        <f t="shared" si="321"/>
        <v>125.4</v>
      </c>
      <c r="T95" s="254">
        <f t="shared" si="321"/>
        <v>145.895</v>
      </c>
      <c r="U95" s="254">
        <f t="shared" si="321"/>
        <v>136.83370100000002</v>
      </c>
      <c r="V95" s="254">
        <f t="shared" si="321"/>
        <v>133.70086909999998</v>
      </c>
      <c r="W95" s="253">
        <f t="shared" si="321"/>
        <v>152.0093649</v>
      </c>
      <c r="X95" s="254">
        <f t="shared" si="321"/>
        <v>166.40024010000002</v>
      </c>
      <c r="Y95" s="254">
        <f t="shared" si="321"/>
        <v>167.89039499999996</v>
      </c>
      <c r="Z95" s="254">
        <f t="shared" si="321"/>
        <v>186.00000000000003</v>
      </c>
      <c r="AA95" s="253">
        <f t="shared" si="321"/>
        <v>154.00924489999997</v>
      </c>
      <c r="AB95" s="254">
        <f t="shared" si="321"/>
        <v>194.39465999999985</v>
      </c>
      <c r="AC95" s="254">
        <f t="shared" si="321"/>
        <v>170.06184110000015</v>
      </c>
      <c r="AD95" s="254">
        <f t="shared" si="321"/>
        <v>214.43094129999608</v>
      </c>
      <c r="AE95" s="253">
        <f>AE97+AE98+AE100+AE101+AE103</f>
        <v>175.13085139999998</v>
      </c>
      <c r="AF95" s="254">
        <f aca="true" t="shared" si="322" ref="AF95:AK95">AF97+AF98+AF100+AF101+AF103</f>
        <v>188.4874352</v>
      </c>
      <c r="AG95" s="254">
        <f t="shared" si="322"/>
        <v>184.58019059999998</v>
      </c>
      <c r="AH95" s="269">
        <f t="shared" si="322"/>
        <v>194.03353960000007</v>
      </c>
      <c r="AI95" s="464">
        <f t="shared" si="322"/>
        <v>193.4013321</v>
      </c>
      <c r="AJ95" s="254">
        <f t="shared" si="322"/>
        <v>204.59136790000002</v>
      </c>
      <c r="AK95" s="254">
        <f t="shared" si="322"/>
        <v>187.04042910000004</v>
      </c>
      <c r="AL95" s="254">
        <f aca="true" t="shared" si="323" ref="AL95:AQ95">AL97+AL98+AL100+AL101+AL103</f>
        <v>194.36013779999996</v>
      </c>
      <c r="AM95" s="464">
        <f t="shared" si="323"/>
        <v>198.74491569999998</v>
      </c>
      <c r="AN95" s="254">
        <f t="shared" si="323"/>
        <v>215.622005</v>
      </c>
      <c r="AO95" s="254">
        <f t="shared" si="323"/>
        <v>202.5114301</v>
      </c>
      <c r="AP95" s="254">
        <f t="shared" si="323"/>
        <v>207.60572800000003</v>
      </c>
      <c r="AQ95" s="253">
        <f t="shared" si="323"/>
        <v>195.6123758</v>
      </c>
      <c r="AR95" s="254">
        <f aca="true" t="shared" si="324" ref="AR95:AW95">AR97+AR98+AR100+AR101+AR103</f>
        <v>203.28401090000003</v>
      </c>
      <c r="AS95" s="254">
        <f t="shared" si="324"/>
        <v>208.67020123999993</v>
      </c>
      <c r="AT95" s="254">
        <f t="shared" si="324"/>
        <v>233.98747700000007</v>
      </c>
      <c r="AU95" s="464">
        <f t="shared" si="324"/>
        <v>248.83212456</v>
      </c>
      <c r="AV95" s="254">
        <f t="shared" si="324"/>
        <v>244.00269617999996</v>
      </c>
      <c r="AW95" s="254">
        <f t="shared" si="324"/>
        <v>264.6640807000001</v>
      </c>
      <c r="AX95" s="269">
        <f aca="true" t="shared" si="325" ref="AX95:BC95">AX97+AX98+AX100+AX101+AX103</f>
        <v>277.99980803</v>
      </c>
      <c r="AY95" s="253">
        <f t="shared" si="325"/>
        <v>289.7909416186592</v>
      </c>
      <c r="AZ95" s="254">
        <f t="shared" si="325"/>
        <v>300.47771451</v>
      </c>
      <c r="BA95" s="254">
        <f t="shared" si="325"/>
        <v>300.03347730298884</v>
      </c>
      <c r="BB95" s="254">
        <f t="shared" si="325"/>
        <v>296.5415805475297</v>
      </c>
      <c r="BC95" s="253">
        <f t="shared" si="325"/>
        <v>247.6212876417216</v>
      </c>
      <c r="BD95" s="254">
        <f>BD97+BD98+BD100+BD101+BD103</f>
        <v>177.98770286531197</v>
      </c>
      <c r="BE95" s="254">
        <f aca="true" t="shared" si="326" ref="BE95:BJ95">BE97+BE98+BE99+BE100+BE101+BE103</f>
        <v>200.38465918580803</v>
      </c>
      <c r="BF95" s="254">
        <f t="shared" si="326"/>
        <v>312.98176304383355</v>
      </c>
      <c r="BG95" s="253">
        <f t="shared" si="326"/>
        <v>229.99137989865918</v>
      </c>
      <c r="BH95" s="254">
        <f t="shared" si="326"/>
        <v>234.41096983999998</v>
      </c>
      <c r="BI95" s="254">
        <f t="shared" si="326"/>
        <v>314.97139237</v>
      </c>
      <c r="BJ95" s="254">
        <f t="shared" si="326"/>
        <v>239.1978212107392</v>
      </c>
      <c r="BK95" s="619"/>
      <c r="BL95" s="86">
        <f aca="true" t="shared" si="327" ref="BL95:CM95">SUM(BL97:BL104)</f>
        <v>138.75461609999996</v>
      </c>
      <c r="BM95" s="86">
        <f t="shared" si="327"/>
        <v>170.58899989999998</v>
      </c>
      <c r="BN95" s="86">
        <f t="shared" si="327"/>
        <v>182.42238419999998</v>
      </c>
      <c r="BO95" s="87">
        <f t="shared" si="327"/>
        <v>144.9366663</v>
      </c>
      <c r="BP95" s="88">
        <f t="shared" si="327"/>
        <v>110.3</v>
      </c>
      <c r="BQ95" s="89">
        <f t="shared" si="327"/>
        <v>151.10229900000004</v>
      </c>
      <c r="BR95" s="89">
        <f t="shared" si="327"/>
        <v>164.59770099999997</v>
      </c>
      <c r="BS95" s="90">
        <f t="shared" si="327"/>
        <v>164.4</v>
      </c>
      <c r="BT95" s="88">
        <f t="shared" si="327"/>
        <v>128.32088</v>
      </c>
      <c r="BU95" s="89">
        <f t="shared" si="327"/>
        <v>182.99999499999998</v>
      </c>
      <c r="BV95" s="89">
        <f t="shared" si="327"/>
        <v>180.679125</v>
      </c>
      <c r="BW95" s="90">
        <f t="shared" si="327"/>
        <v>183.493</v>
      </c>
      <c r="BX95" s="88">
        <f t="shared" si="327"/>
        <v>154.02</v>
      </c>
      <c r="BY95" s="89">
        <f t="shared" si="327"/>
        <v>169.88271179999998</v>
      </c>
      <c r="BZ95" s="89">
        <f t="shared" si="327"/>
        <v>132.99728820000004</v>
      </c>
      <c r="CA95" s="89">
        <f t="shared" si="327"/>
        <v>151.60537118</v>
      </c>
      <c r="CB95" s="88">
        <f t="shared" si="327"/>
        <v>117</v>
      </c>
      <c r="CC95" s="89">
        <f t="shared" si="327"/>
        <v>146.642</v>
      </c>
      <c r="CD95" s="89">
        <f t="shared" si="327"/>
        <v>142.72414796000004</v>
      </c>
      <c r="CE95" s="89">
        <f t="shared" si="327"/>
        <v>132.23937903999996</v>
      </c>
      <c r="CF95" s="88">
        <f t="shared" si="327"/>
        <v>155.9398831</v>
      </c>
      <c r="CG95" s="89">
        <f t="shared" si="327"/>
        <v>166.3814814</v>
      </c>
      <c r="CH95" s="89">
        <f t="shared" si="327"/>
        <v>168.17863549999998</v>
      </c>
      <c r="CI95" s="89">
        <f t="shared" si="327"/>
        <v>179.60000000000002</v>
      </c>
      <c r="CJ95" s="88">
        <f t="shared" si="327"/>
        <v>158.54936659999998</v>
      </c>
      <c r="CK95" s="89">
        <f t="shared" si="327"/>
        <v>195.81959869999991</v>
      </c>
      <c r="CL95" s="89">
        <f t="shared" si="327"/>
        <v>165.8786780000001</v>
      </c>
      <c r="CM95" s="404">
        <f t="shared" si="327"/>
        <v>216.65857509999606</v>
      </c>
      <c r="CN95" s="88">
        <f>CN97+CN98+CN100+CN101+CN103</f>
        <v>177.11242140000002</v>
      </c>
      <c r="CO95" s="89">
        <f aca="true" t="shared" si="328" ref="CO95:CU95">CO97+CO98+CO100+CO101+CO103</f>
        <v>183.6816383</v>
      </c>
      <c r="CP95" s="89">
        <f t="shared" si="328"/>
        <v>184.17831990000002</v>
      </c>
      <c r="CQ95" s="89">
        <f t="shared" si="328"/>
        <v>198.82837430000006</v>
      </c>
      <c r="CR95" s="470">
        <f t="shared" si="328"/>
        <v>192.6115377</v>
      </c>
      <c r="CS95" s="89">
        <f t="shared" si="328"/>
        <v>202.5277357</v>
      </c>
      <c r="CT95" s="89">
        <f t="shared" si="328"/>
        <v>190.1905623</v>
      </c>
      <c r="CU95" s="89">
        <f t="shared" si="328"/>
        <v>191.9284912</v>
      </c>
      <c r="CV95" s="88">
        <f aca="true" t="shared" si="329" ref="CV95:DA95">CV97+CV98+CV100+CV101+CV103</f>
        <v>192.0129594</v>
      </c>
      <c r="CW95" s="89">
        <f t="shared" si="329"/>
        <v>222.55268900000004</v>
      </c>
      <c r="CX95" s="89">
        <f t="shared" si="329"/>
        <v>197.54181110000002</v>
      </c>
      <c r="CY95" s="89">
        <f t="shared" si="329"/>
        <v>214.2097114</v>
      </c>
      <c r="CZ95" s="88">
        <f t="shared" si="329"/>
        <v>192.9321966</v>
      </c>
      <c r="DA95" s="89">
        <f t="shared" si="329"/>
        <v>205.13251180000003</v>
      </c>
      <c r="DB95" s="89">
        <f aca="true" t="shared" si="330" ref="DB95:DG95">DB97+DB98+DB100+DB101+DB103</f>
        <v>207.29937983999994</v>
      </c>
      <c r="DC95" s="89">
        <f t="shared" si="330"/>
        <v>234.2945156</v>
      </c>
      <c r="DD95" s="88">
        <f t="shared" si="330"/>
        <v>248.63957040000003</v>
      </c>
      <c r="DE95" s="89">
        <f t="shared" si="330"/>
        <v>246.1955066</v>
      </c>
      <c r="DF95" s="89">
        <f t="shared" si="330"/>
        <v>262.7129748000001</v>
      </c>
      <c r="DG95" s="89">
        <f t="shared" si="330"/>
        <v>277.3977780000001</v>
      </c>
      <c r="DH95" s="88">
        <f>DH97+DH98+DH100+DH101+DH103</f>
        <v>286.9699468</v>
      </c>
      <c r="DI95" s="89">
        <f>DI97+DI98+DI100+DI101+DI103</f>
        <v>299.1053924</v>
      </c>
      <c r="DJ95" s="89">
        <f>DJ97+DJ98+DJ100+DJ101+DJ103</f>
        <v>292.660965</v>
      </c>
      <c r="DK95" s="89">
        <f>DK97+DK98+DK100+DK101+DK103</f>
        <v>299.4177893999999</v>
      </c>
      <c r="DL95" s="88">
        <f>DL97+DL98+DL100+DL101+DL103</f>
        <v>254.38976010000002</v>
      </c>
      <c r="DM95" s="89">
        <f aca="true" t="shared" si="331" ref="DM95:DR95">DM97+DM98+DM99+DM100+DM101+DM103</f>
        <v>182.4015312</v>
      </c>
      <c r="DN95" s="89">
        <f t="shared" si="331"/>
        <v>199.35888110000002</v>
      </c>
      <c r="DO95" s="89">
        <f t="shared" si="331"/>
        <v>265.0951459</v>
      </c>
      <c r="DP95" s="88">
        <f t="shared" si="331"/>
        <v>256.58057180000003</v>
      </c>
      <c r="DQ95" s="89">
        <f t="shared" si="331"/>
        <v>221.8528718</v>
      </c>
      <c r="DR95" s="89">
        <f t="shared" si="331"/>
        <v>319.12437420000003</v>
      </c>
      <c r="DS95" s="89">
        <f>DS97+DS98+DS99+DS100+DS101+DS103</f>
        <v>238.8971774</v>
      </c>
      <c r="DT95" s="91"/>
      <c r="DU95" s="92">
        <f>DU97+DU100+DU101+DU103</f>
        <v>134.5</v>
      </c>
      <c r="DV95" s="92">
        <f aca="true" t="shared" si="332" ref="DV95:EF95">DV97+DV100+DV101+DV103</f>
        <v>154.30000000000004</v>
      </c>
      <c r="DW95" s="92">
        <f t="shared" si="332"/>
        <v>151.49999999999994</v>
      </c>
      <c r="DX95" s="338">
        <f t="shared" si="332"/>
        <v>136.60000000000002</v>
      </c>
      <c r="DY95" s="339">
        <f t="shared" si="332"/>
        <v>154.33231710000004</v>
      </c>
      <c r="DZ95" s="92">
        <f t="shared" si="332"/>
        <v>166.5334073999998</v>
      </c>
      <c r="EA95" s="92">
        <f t="shared" si="332"/>
        <v>156.10534059999958</v>
      </c>
      <c r="EB95" s="338">
        <f t="shared" si="332"/>
        <v>172.62893490000062</v>
      </c>
      <c r="EC95" s="339">
        <f t="shared" si="332"/>
        <v>159.3997526000001</v>
      </c>
      <c r="ED95" s="92">
        <f t="shared" si="332"/>
        <v>173.29445669999978</v>
      </c>
      <c r="EE95" s="92">
        <f t="shared" si="332"/>
        <v>158.10967399999973</v>
      </c>
      <c r="EF95" s="92">
        <f t="shared" si="332"/>
        <v>225.35182609999757</v>
      </c>
      <c r="EG95" s="339">
        <f aca="true" t="shared" si="333" ref="EG95:EO95">EG97+EG98+EG100+EG101+EG103</f>
        <v>172.83146340000013</v>
      </c>
      <c r="EH95" s="92">
        <f t="shared" si="333"/>
        <v>186.83538229999996</v>
      </c>
      <c r="EI95" s="92">
        <f t="shared" si="333"/>
        <v>185.7145643</v>
      </c>
      <c r="EJ95" s="92">
        <f t="shared" si="333"/>
        <v>191.10004389999995</v>
      </c>
      <c r="EK95" s="489">
        <f t="shared" si="333"/>
        <v>189.63661370000003</v>
      </c>
      <c r="EL95" s="92">
        <f t="shared" si="333"/>
        <v>204.7566857</v>
      </c>
      <c r="EM95" s="92">
        <f t="shared" si="333"/>
        <v>179.99951830000003</v>
      </c>
      <c r="EN95" s="92">
        <f>EN97+EN98+EN100+EN101+EN103</f>
        <v>186.88559840000002</v>
      </c>
      <c r="EO95" s="339">
        <f t="shared" si="333"/>
        <v>176.87700940000002</v>
      </c>
      <c r="EP95" s="92">
        <f aca="true" t="shared" si="334" ref="EP95:EW95">EP97+EP98+EP100+EP101+EP103</f>
        <v>215.140839</v>
      </c>
      <c r="EQ95" s="92">
        <f t="shared" si="334"/>
        <v>194.66774110000003</v>
      </c>
      <c r="ER95" s="92">
        <f t="shared" si="334"/>
        <v>212.3862074</v>
      </c>
      <c r="ES95" s="489">
        <f t="shared" si="334"/>
        <v>178.3765916</v>
      </c>
      <c r="ET95" s="92">
        <f t="shared" si="334"/>
        <v>196.0633008</v>
      </c>
      <c r="EU95" s="92">
        <f t="shared" si="334"/>
        <v>204.07262283999992</v>
      </c>
      <c r="EV95" s="92">
        <f>EV97+EV98+EV100+EV101+EV103</f>
        <v>218.4730046000001</v>
      </c>
      <c r="EW95" s="339">
        <f t="shared" si="334"/>
        <v>237.2004724</v>
      </c>
      <c r="EX95" s="92">
        <f aca="true" t="shared" si="335" ref="EX95:FC95">EX97+EX98+EX100+EX101+EX103</f>
        <v>257.0349266</v>
      </c>
      <c r="EY95" s="92">
        <f t="shared" si="335"/>
        <v>247.59146879999997</v>
      </c>
      <c r="EZ95" s="92">
        <f t="shared" si="335"/>
        <v>305.71061000000014</v>
      </c>
      <c r="FA95" s="339">
        <f t="shared" si="335"/>
        <v>258.07182579999994</v>
      </c>
      <c r="FB95" s="92">
        <f t="shared" si="335"/>
        <v>300.4785734</v>
      </c>
      <c r="FC95" s="92">
        <f t="shared" si="335"/>
        <v>253.40798859999992</v>
      </c>
      <c r="FD95" s="92">
        <f>FD97+FD98+FD100+FD101+FD103</f>
        <v>321.8555118000001</v>
      </c>
      <c r="FE95" s="339">
        <f>FE97+FE98+FE100+FE101+FE103</f>
        <v>299.20843010000004</v>
      </c>
      <c r="FF95" s="92">
        <f>FF97+FF98+FF100+FF101+FF103</f>
        <v>183.5624331999999</v>
      </c>
      <c r="FG95" s="92">
        <f>FG97+FG98+FG99+FG100+FG101+FG103</f>
        <v>193.64567910000008</v>
      </c>
      <c r="FH95" s="92">
        <f>FH97+FH98+FH99+FH100+FH101+FH103</f>
        <v>266.6551459</v>
      </c>
      <c r="FI95" s="339">
        <f>FI97+FI98+FI99+FI100+FI101+FI103</f>
        <v>246.78887180000004</v>
      </c>
      <c r="FJ95" s="92">
        <f>FJ97+FJ98+FJ99+FJ100+FJ101+FJ103</f>
        <v>221.8528718</v>
      </c>
      <c r="FK95" s="92">
        <f>FK97+FK98+FK99+FK100+FK101+FK103</f>
        <v>316.1001542000001</v>
      </c>
      <c r="FL95" s="92">
        <f>FL97+FL98+FL99+FL100+FL101+FL103</f>
        <v>237.09231739999993</v>
      </c>
      <c r="FM95" s="63"/>
      <c r="FN95" s="93">
        <f aca="true" t="shared" si="336" ref="FN95:FS95">FN97+FN100+FN101+FN103</f>
        <v>288.80000000000007</v>
      </c>
      <c r="FO95" s="93">
        <f t="shared" si="336"/>
        <v>440.3</v>
      </c>
      <c r="FP95" s="93">
        <f t="shared" si="336"/>
        <v>576.8</v>
      </c>
      <c r="FQ95" s="93">
        <f t="shared" si="336"/>
        <v>320.86572449999977</v>
      </c>
      <c r="FR95" s="93">
        <f t="shared" si="336"/>
        <v>476.97106509999935</v>
      </c>
      <c r="FS95" s="93">
        <f t="shared" si="336"/>
        <v>649.6</v>
      </c>
      <c r="FT95" s="93">
        <f>FT97+FT98+FT100+FT101+FT103</f>
        <v>332.69420929999995</v>
      </c>
      <c r="FU95" s="93">
        <f aca="true" t="shared" si="337" ref="FU95:GB95">FU97+FU98+FU100+FU101+FU103</f>
        <v>490.80388329999965</v>
      </c>
      <c r="FV95" s="93">
        <f t="shared" si="337"/>
        <v>749.1557093999972</v>
      </c>
      <c r="FW95" s="93">
        <f t="shared" si="337"/>
        <v>359.66684570000007</v>
      </c>
      <c r="FX95" s="93">
        <f t="shared" si="337"/>
        <v>545.3814100000002</v>
      </c>
      <c r="FY95" s="93">
        <f t="shared" si="337"/>
        <v>736.4814539</v>
      </c>
      <c r="FZ95" s="93">
        <f t="shared" si="337"/>
        <v>394.39329940000005</v>
      </c>
      <c r="GA95" s="93">
        <f t="shared" si="337"/>
        <v>574.3928177</v>
      </c>
      <c r="GB95" s="93">
        <f t="shared" si="337"/>
        <v>761.2784161000001</v>
      </c>
      <c r="GC95" s="93">
        <f aca="true" t="shared" si="338" ref="GC95:GH95">GC97+GC98+GC100+GC101+GC103</f>
        <v>392.0178484</v>
      </c>
      <c r="GD95" s="93">
        <f t="shared" si="338"/>
        <v>586.6855895</v>
      </c>
      <c r="GE95" s="93">
        <f t="shared" si="338"/>
        <v>799.0717968999999</v>
      </c>
      <c r="GF95" s="93">
        <f t="shared" si="338"/>
        <v>374.4398924000001</v>
      </c>
      <c r="GG95" s="93">
        <f t="shared" si="338"/>
        <v>578.51251524</v>
      </c>
      <c r="GH95" s="93">
        <f t="shared" si="338"/>
        <v>796.98551984</v>
      </c>
      <c r="GI95" s="93">
        <f aca="true" t="shared" si="339" ref="GI95:GN95">GI97+GI98+GI100+GI101+GI103</f>
        <v>494.235399</v>
      </c>
      <c r="GJ95" s="93">
        <f t="shared" si="339"/>
        <v>741.8268678</v>
      </c>
      <c r="GK95" s="93">
        <f t="shared" si="339"/>
        <v>1047.5374778</v>
      </c>
      <c r="GL95" s="93">
        <f t="shared" si="339"/>
        <v>558.5503992</v>
      </c>
      <c r="GM95" s="93">
        <f t="shared" si="339"/>
        <v>811.9583878</v>
      </c>
      <c r="GN95" s="93">
        <f t="shared" si="339"/>
        <v>1133.8138996</v>
      </c>
      <c r="GO95" s="93">
        <f>GO97+GO98+GO100+GO101+GO103</f>
        <v>482.7708633</v>
      </c>
      <c r="GP95" s="93">
        <f>GP97+GP98+GP99+GP100+GP101+GP103</f>
        <v>676.4165424</v>
      </c>
      <c r="GQ95" s="93">
        <f>GQ97+GQ98+GQ99+GQ100+GQ101+GQ103</f>
        <v>943.0716883</v>
      </c>
      <c r="GR95" s="93">
        <f>GR97+GR98+GR99+GR100+GR101+GR103</f>
        <v>468.64174360000004</v>
      </c>
      <c r="GS95" s="93">
        <f>GS97+GS98+GS99+GS100+GS101+GS103</f>
        <v>784.7418978000002</v>
      </c>
      <c r="GT95" s="93">
        <f>GT97+GT98+GT99+GT100+GT101+GT103</f>
        <v>1021.8342152</v>
      </c>
    </row>
    <row r="96" spans="1:202" s="129" customFormat="1" ht="15.75">
      <c r="A96" s="100" t="s">
        <v>104</v>
      </c>
      <c r="B96" s="100" t="s">
        <v>93</v>
      </c>
      <c r="C96" s="257"/>
      <c r="D96" s="257"/>
      <c r="E96" s="257"/>
      <c r="F96" s="258"/>
      <c r="G96" s="256"/>
      <c r="H96" s="257"/>
      <c r="I96" s="257"/>
      <c r="J96" s="258"/>
      <c r="K96" s="256"/>
      <c r="L96" s="257"/>
      <c r="M96" s="257"/>
      <c r="N96" s="258"/>
      <c r="O96" s="256"/>
      <c r="P96" s="257"/>
      <c r="Q96" s="257"/>
      <c r="R96" s="257"/>
      <c r="S96" s="256"/>
      <c r="T96" s="257"/>
      <c r="U96" s="257"/>
      <c r="V96" s="257"/>
      <c r="W96" s="256"/>
      <c r="X96" s="257"/>
      <c r="Y96" s="257"/>
      <c r="Z96" s="257"/>
      <c r="AA96" s="256"/>
      <c r="AB96" s="257"/>
      <c r="AC96" s="257"/>
      <c r="AD96" s="257"/>
      <c r="AE96" s="256">
        <f>AE102+AE104</f>
        <v>0.0284482</v>
      </c>
      <c r="AF96" s="257">
        <f>AF102+AF104</f>
        <v>0.0238393</v>
      </c>
      <c r="AG96" s="257">
        <f aca="true" t="shared" si="340" ref="AG96:AL96">AG102+AG104</f>
        <v>0.0154462</v>
      </c>
      <c r="AH96" s="268">
        <f t="shared" si="340"/>
        <v>0.0350666</v>
      </c>
      <c r="AI96" s="465">
        <f t="shared" si="340"/>
        <v>0.0440018</v>
      </c>
      <c r="AJ96" s="257">
        <f t="shared" si="340"/>
        <v>0.03585579999999999</v>
      </c>
      <c r="AK96" s="257">
        <f t="shared" si="340"/>
        <v>0.0381732</v>
      </c>
      <c r="AL96" s="257">
        <f t="shared" si="340"/>
        <v>0.027069099999999995</v>
      </c>
      <c r="AM96" s="465">
        <f aca="true" t="shared" si="341" ref="AM96:AR96">AM102+AM104</f>
        <v>0.0017671</v>
      </c>
      <c r="AN96" s="257">
        <f t="shared" si="341"/>
        <v>0.0477685</v>
      </c>
      <c r="AO96" s="257">
        <f t="shared" si="341"/>
        <v>0.03936560000000001</v>
      </c>
      <c r="AP96" s="257">
        <f t="shared" si="341"/>
        <v>0.031044799999999997</v>
      </c>
      <c r="AQ96" s="256">
        <f t="shared" si="341"/>
        <v>0.0028081</v>
      </c>
      <c r="AR96" s="257">
        <f t="shared" si="341"/>
        <v>0.040914099999999995</v>
      </c>
      <c r="AS96" s="257">
        <f aca="true" t="shared" si="342" ref="AS96:AX96">AS102+AS104</f>
        <v>0.0249235</v>
      </c>
      <c r="AT96" s="257">
        <f t="shared" si="342"/>
        <v>0.022052200000000015</v>
      </c>
      <c r="AU96" s="465">
        <f t="shared" si="342"/>
        <v>0.0048033</v>
      </c>
      <c r="AV96" s="257">
        <f t="shared" si="342"/>
        <v>0.04299734000000001</v>
      </c>
      <c r="AW96" s="257">
        <f t="shared" si="342"/>
        <v>0.028413299999999996</v>
      </c>
      <c r="AX96" s="268">
        <f t="shared" si="342"/>
        <v>0.02505732999999999</v>
      </c>
      <c r="AY96" s="256">
        <f aca="true" t="shared" si="343" ref="AY96:BD96">AY102+AY104</f>
        <v>0.019458514963200002</v>
      </c>
      <c r="AZ96" s="257">
        <f t="shared" si="343"/>
        <v>0.00675331</v>
      </c>
      <c r="BA96" s="257">
        <f t="shared" si="343"/>
        <v>0.0076720057024</v>
      </c>
      <c r="BB96" s="257">
        <f t="shared" si="343"/>
        <v>0.005116548511999995</v>
      </c>
      <c r="BC96" s="256">
        <f t="shared" si="343"/>
        <v>0.0047473417216</v>
      </c>
      <c r="BD96" s="257">
        <f t="shared" si="343"/>
        <v>0.006033161088</v>
      </c>
      <c r="BE96" s="257">
        <f aca="true" t="shared" si="344" ref="BE96:BJ96">BE102+BE104</f>
        <v>0.0064112941824</v>
      </c>
      <c r="BF96" s="257">
        <f t="shared" si="344"/>
        <v>0.006095235712</v>
      </c>
      <c r="BG96" s="256">
        <f t="shared" si="344"/>
        <v>0.0046974986592</v>
      </c>
      <c r="BH96" s="257">
        <f t="shared" si="344"/>
        <v>0.006668540000000001</v>
      </c>
      <c r="BI96" s="257">
        <f t="shared" si="344"/>
        <v>0.00670317</v>
      </c>
      <c r="BJ96" s="257">
        <f t="shared" si="344"/>
        <v>0.004639215036800001</v>
      </c>
      <c r="BK96" s="619"/>
      <c r="BL96" s="111"/>
      <c r="BM96" s="111"/>
      <c r="BN96" s="111"/>
      <c r="BO96" s="112"/>
      <c r="BP96" s="113"/>
      <c r="BQ96" s="114"/>
      <c r="BR96" s="114"/>
      <c r="BS96" s="115"/>
      <c r="BT96" s="113"/>
      <c r="BU96" s="114"/>
      <c r="BV96" s="114"/>
      <c r="BW96" s="115"/>
      <c r="BX96" s="113"/>
      <c r="BY96" s="114"/>
      <c r="BZ96" s="114"/>
      <c r="CA96" s="114"/>
      <c r="CB96" s="113"/>
      <c r="CC96" s="114"/>
      <c r="CD96" s="114"/>
      <c r="CE96" s="114"/>
      <c r="CF96" s="113"/>
      <c r="CG96" s="114"/>
      <c r="CH96" s="114"/>
      <c r="CI96" s="114"/>
      <c r="CJ96" s="113"/>
      <c r="CK96" s="114"/>
      <c r="CL96" s="114"/>
      <c r="CM96" s="406"/>
      <c r="CN96" s="113"/>
      <c r="CO96" s="114"/>
      <c r="CP96" s="114"/>
      <c r="CQ96" s="114"/>
      <c r="CR96" s="472"/>
      <c r="CS96" s="114"/>
      <c r="CT96" s="114"/>
      <c r="CU96" s="114"/>
      <c r="CV96" s="113"/>
      <c r="CW96" s="114"/>
      <c r="CX96" s="114"/>
      <c r="CY96" s="114"/>
      <c r="CZ96" s="113"/>
      <c r="DA96" s="114"/>
      <c r="DB96" s="114"/>
      <c r="DC96" s="114"/>
      <c r="DD96" s="113"/>
      <c r="DE96" s="114"/>
      <c r="DF96" s="114"/>
      <c r="DG96" s="114"/>
      <c r="DH96" s="113"/>
      <c r="DI96" s="114"/>
      <c r="DJ96" s="114"/>
      <c r="DK96" s="114"/>
      <c r="DL96" s="113"/>
      <c r="DM96" s="114"/>
      <c r="DN96" s="114"/>
      <c r="DO96" s="114"/>
      <c r="DP96" s="113"/>
      <c r="DQ96" s="114"/>
      <c r="DR96" s="114"/>
      <c r="DS96" s="114"/>
      <c r="DT96" s="500"/>
      <c r="DU96" s="126"/>
      <c r="DV96" s="126"/>
      <c r="DW96" s="126"/>
      <c r="DX96" s="342"/>
      <c r="DY96" s="343"/>
      <c r="DZ96" s="126"/>
      <c r="EA96" s="126"/>
      <c r="EB96" s="342"/>
      <c r="EC96" s="343"/>
      <c r="ED96" s="126"/>
      <c r="EE96" s="126"/>
      <c r="EF96" s="126"/>
      <c r="EG96" s="343"/>
      <c r="EH96" s="126"/>
      <c r="EI96" s="126"/>
      <c r="EJ96" s="126"/>
      <c r="EK96" s="490"/>
      <c r="EL96" s="126"/>
      <c r="EM96" s="126"/>
      <c r="EN96" s="126"/>
      <c r="EO96" s="343"/>
      <c r="EP96" s="126"/>
      <c r="EQ96" s="126"/>
      <c r="ER96" s="126"/>
      <c r="ES96" s="490"/>
      <c r="ET96" s="126"/>
      <c r="EU96" s="126"/>
      <c r="EV96" s="126"/>
      <c r="EW96" s="343"/>
      <c r="EX96" s="126"/>
      <c r="EY96" s="126"/>
      <c r="EZ96" s="126"/>
      <c r="FA96" s="343"/>
      <c r="FB96" s="126"/>
      <c r="FC96" s="126"/>
      <c r="FD96" s="126"/>
      <c r="FE96" s="343"/>
      <c r="FF96" s="126"/>
      <c r="FG96" s="126"/>
      <c r="FH96" s="126"/>
      <c r="FI96" s="343"/>
      <c r="FJ96" s="126"/>
      <c r="FK96" s="126"/>
      <c r="FL96" s="126"/>
      <c r="FM96" s="127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</row>
    <row r="97" spans="1:202" ht="15.75" customHeight="1">
      <c r="A97" s="130" t="s">
        <v>131</v>
      </c>
      <c r="B97" s="131" t="s">
        <v>82</v>
      </c>
      <c r="C97" s="252">
        <f aca="true" t="shared" si="345" ref="C97:AL97">C156+C197</f>
        <v>50.35326</v>
      </c>
      <c r="D97" s="252">
        <f t="shared" si="345"/>
        <v>47.777499999999996</v>
      </c>
      <c r="E97" s="252">
        <f t="shared" si="345"/>
        <v>45.04109000000001</v>
      </c>
      <c r="F97" s="260">
        <f t="shared" si="345"/>
        <v>33.44205500000001</v>
      </c>
      <c r="G97" s="259">
        <f t="shared" si="345"/>
        <v>45.1</v>
      </c>
      <c r="H97" s="252">
        <f t="shared" si="345"/>
        <v>48.99433</v>
      </c>
      <c r="I97" s="252">
        <f t="shared" si="345"/>
        <v>38.305669999999985</v>
      </c>
      <c r="J97" s="260">
        <f t="shared" si="345"/>
        <v>48.14229</v>
      </c>
      <c r="K97" s="259">
        <f t="shared" si="345"/>
        <v>48.3</v>
      </c>
      <c r="L97" s="252">
        <f t="shared" si="345"/>
        <v>65.86603500000001</v>
      </c>
      <c r="M97" s="252">
        <f t="shared" si="345"/>
        <v>52.83396499999998</v>
      </c>
      <c r="N97" s="260">
        <f t="shared" si="345"/>
        <v>80.64100900000001</v>
      </c>
      <c r="O97" s="259">
        <f t="shared" si="345"/>
        <v>63.16951</v>
      </c>
      <c r="P97" s="252">
        <f t="shared" si="345"/>
        <v>65.121235</v>
      </c>
      <c r="Q97" s="252">
        <f t="shared" si="345"/>
        <v>54.378239999999984</v>
      </c>
      <c r="R97" s="252">
        <f t="shared" si="345"/>
        <v>59.21101500000002</v>
      </c>
      <c r="S97" s="259">
        <f t="shared" si="345"/>
        <v>60.3</v>
      </c>
      <c r="T97" s="252">
        <f t="shared" si="345"/>
        <v>57.789</v>
      </c>
      <c r="U97" s="252">
        <f t="shared" si="345"/>
        <v>55.180209999999995</v>
      </c>
      <c r="V97" s="252">
        <f t="shared" si="345"/>
        <v>53.66819</v>
      </c>
      <c r="W97" s="259">
        <f t="shared" si="345"/>
        <v>53.447449999999996</v>
      </c>
      <c r="X97" s="252">
        <f t="shared" si="345"/>
        <v>47.743325</v>
      </c>
      <c r="Y97" s="252">
        <f t="shared" si="345"/>
        <v>56.209225</v>
      </c>
      <c r="Z97" s="252">
        <f t="shared" si="345"/>
        <v>72.8</v>
      </c>
      <c r="AA97" s="259">
        <f t="shared" si="345"/>
        <v>47.468734999999995</v>
      </c>
      <c r="AB97" s="252">
        <f t="shared" si="345"/>
        <v>86.57318</v>
      </c>
      <c r="AC97" s="252">
        <f t="shared" si="345"/>
        <v>54.579135</v>
      </c>
      <c r="AD97" s="252">
        <f t="shared" si="345"/>
        <v>77.31104500000004</v>
      </c>
      <c r="AE97" s="259">
        <f t="shared" si="345"/>
        <v>41.336545</v>
      </c>
      <c r="AF97" s="252">
        <f t="shared" si="345"/>
        <v>67.494535</v>
      </c>
      <c r="AG97" s="252">
        <f t="shared" si="345"/>
        <v>31.537149999999983</v>
      </c>
      <c r="AH97" s="267">
        <f t="shared" si="345"/>
        <v>31.93617500000001</v>
      </c>
      <c r="AI97" s="275">
        <f t="shared" si="345"/>
        <v>40.124185000000004</v>
      </c>
      <c r="AJ97" s="252">
        <f t="shared" si="345"/>
        <v>35.17581500000001</v>
      </c>
      <c r="AK97" s="252">
        <f t="shared" si="345"/>
        <v>28.834254999999995</v>
      </c>
      <c r="AL97" s="252">
        <f t="shared" si="345"/>
        <v>27.83576499999999</v>
      </c>
      <c r="AM97" s="275">
        <f aca="true" t="shared" si="346" ref="AM97:AR97">AM156+AM197</f>
        <v>40.89299</v>
      </c>
      <c r="AN97" s="252">
        <f t="shared" si="346"/>
        <v>47.000054999999996</v>
      </c>
      <c r="AO97" s="252">
        <f t="shared" si="346"/>
        <v>39.79602499999999</v>
      </c>
      <c r="AP97" s="252">
        <f t="shared" si="346"/>
        <v>42.21681</v>
      </c>
      <c r="AQ97" s="259">
        <f t="shared" si="346"/>
        <v>48.804590000000005</v>
      </c>
      <c r="AR97" s="252">
        <f t="shared" si="346"/>
        <v>44.535605</v>
      </c>
      <c r="AS97" s="252">
        <f aca="true" t="shared" si="347" ref="AS97:AX97">AS156+AS197</f>
        <v>30.256129999999988</v>
      </c>
      <c r="AT97" s="252">
        <f t="shared" si="347"/>
        <v>65.486405</v>
      </c>
      <c r="AU97" s="275">
        <f t="shared" si="347"/>
        <v>77.76253499999999</v>
      </c>
      <c r="AV97" s="252">
        <f t="shared" si="347"/>
        <v>78.30925</v>
      </c>
      <c r="AW97" s="252">
        <f t="shared" si="347"/>
        <v>90.15119999999997</v>
      </c>
      <c r="AX97" s="267">
        <f t="shared" si="347"/>
        <v>72.00985000000001</v>
      </c>
      <c r="AY97" s="259">
        <f aca="true" t="shared" si="348" ref="AY97:BD97">AY156+AY197</f>
        <v>125.1975</v>
      </c>
      <c r="AZ97" s="252">
        <f t="shared" si="348"/>
        <v>118.35844999999999</v>
      </c>
      <c r="BA97" s="252">
        <f t="shared" si="348"/>
        <v>124.0369</v>
      </c>
      <c r="BB97" s="252">
        <f t="shared" si="348"/>
        <v>102.05800000000002</v>
      </c>
      <c r="BC97" s="259">
        <f t="shared" si="348"/>
        <v>78.5757</v>
      </c>
      <c r="BD97" s="252">
        <f t="shared" si="348"/>
        <v>16.664687999999952</v>
      </c>
      <c r="BE97" s="252">
        <f aca="true" t="shared" si="349" ref="BE97:BJ97">BE156+BE197</f>
        <v>31.398100000000056</v>
      </c>
      <c r="BF97" s="252">
        <f t="shared" si="349"/>
        <v>159.33404999999993</v>
      </c>
      <c r="BG97" s="259">
        <f t="shared" si="349"/>
        <v>99.66965000000002</v>
      </c>
      <c r="BH97" s="252">
        <f t="shared" si="349"/>
        <v>64.53989999999999</v>
      </c>
      <c r="BI97" s="252">
        <f t="shared" si="349"/>
        <v>133.1343</v>
      </c>
      <c r="BJ97" s="252">
        <f t="shared" si="349"/>
        <v>87.85744999999999</v>
      </c>
      <c r="BK97" s="619"/>
      <c r="BL97" s="121">
        <f aca="true" t="shared" si="350" ref="BL97:CU97">BL156+BL197</f>
        <v>53.66786</v>
      </c>
      <c r="BM97" s="121">
        <f t="shared" si="350"/>
        <v>45.5529</v>
      </c>
      <c r="BN97" s="121">
        <f t="shared" si="350"/>
        <v>44.22494999999999</v>
      </c>
      <c r="BO97" s="122">
        <f t="shared" si="350"/>
        <v>36.842195000000004</v>
      </c>
      <c r="BP97" s="123">
        <f t="shared" si="350"/>
        <v>44.5</v>
      </c>
      <c r="BQ97" s="124">
        <f t="shared" si="350"/>
        <v>48.17468000000001</v>
      </c>
      <c r="BR97" s="124">
        <f t="shared" si="350"/>
        <v>40.22531999999998</v>
      </c>
      <c r="BS97" s="125">
        <f t="shared" si="350"/>
        <v>47.70000000000002</v>
      </c>
      <c r="BT97" s="123">
        <f t="shared" si="350"/>
        <v>47.6</v>
      </c>
      <c r="BU97" s="124">
        <f t="shared" si="350"/>
        <v>67.020875</v>
      </c>
      <c r="BV97" s="124">
        <f t="shared" si="350"/>
        <v>52.779124999999986</v>
      </c>
      <c r="BW97" s="125">
        <f t="shared" si="350"/>
        <v>80.06800000000001</v>
      </c>
      <c r="BX97" s="123">
        <f t="shared" si="350"/>
        <v>61.1</v>
      </c>
      <c r="BY97" s="124">
        <f t="shared" si="350"/>
        <v>66.993745</v>
      </c>
      <c r="BZ97" s="124">
        <f t="shared" si="350"/>
        <v>47.10625500000002</v>
      </c>
      <c r="CA97" s="124">
        <f t="shared" si="350"/>
        <v>66.427505</v>
      </c>
      <c r="CB97" s="123">
        <f t="shared" si="350"/>
        <v>51.9</v>
      </c>
      <c r="CC97" s="124">
        <f t="shared" si="350"/>
        <v>58.3</v>
      </c>
      <c r="CD97" s="124">
        <f t="shared" si="350"/>
        <v>61.417570000000026</v>
      </c>
      <c r="CE97" s="124">
        <f t="shared" si="350"/>
        <v>52.41603499999998</v>
      </c>
      <c r="CF97" s="123">
        <f t="shared" si="350"/>
        <v>57.13995</v>
      </c>
      <c r="CG97" s="124">
        <f t="shared" si="350"/>
        <v>47.743325000000006</v>
      </c>
      <c r="CH97" s="124">
        <f t="shared" si="350"/>
        <v>56.216725000000004</v>
      </c>
      <c r="CI97" s="124">
        <f t="shared" si="350"/>
        <v>66.8</v>
      </c>
      <c r="CJ97" s="123">
        <f t="shared" si="350"/>
        <v>51.774735</v>
      </c>
      <c r="CK97" s="124">
        <f t="shared" si="350"/>
        <v>87.84943</v>
      </c>
      <c r="CL97" s="124">
        <f t="shared" si="350"/>
        <v>50.68134499999999</v>
      </c>
      <c r="CM97" s="407">
        <f t="shared" si="350"/>
        <v>79.57659000000001</v>
      </c>
      <c r="CN97" s="123">
        <f t="shared" si="350"/>
        <v>43.352545000000006</v>
      </c>
      <c r="CO97" s="124">
        <f t="shared" si="350"/>
        <v>62.551334999999995</v>
      </c>
      <c r="CP97" s="124">
        <f t="shared" si="350"/>
        <v>31.47160000000001</v>
      </c>
      <c r="CQ97" s="124">
        <f t="shared" si="350"/>
        <v>36.87992500000001</v>
      </c>
      <c r="CR97" s="473">
        <f t="shared" si="350"/>
        <v>39.20668500000001</v>
      </c>
      <c r="CS97" s="124">
        <f t="shared" si="350"/>
        <v>34.4478</v>
      </c>
      <c r="CT97" s="124">
        <f t="shared" si="350"/>
        <v>30.500769999999996</v>
      </c>
      <c r="CU97" s="124">
        <f t="shared" si="350"/>
        <v>27.05764000000001</v>
      </c>
      <c r="CV97" s="123">
        <f aca="true" t="shared" si="351" ref="CV97:DA97">CV156+CV197</f>
        <v>35.57374</v>
      </c>
      <c r="CW97" s="124">
        <f t="shared" si="351"/>
        <v>53.115305000000006</v>
      </c>
      <c r="CX97" s="124">
        <f t="shared" si="351"/>
        <v>34.580675</v>
      </c>
      <c r="CY97" s="124">
        <f t="shared" si="351"/>
        <v>47.39935999999999</v>
      </c>
      <c r="CZ97" s="123">
        <f t="shared" si="351"/>
        <v>47.552640000000004</v>
      </c>
      <c r="DA97" s="124">
        <f t="shared" si="351"/>
        <v>45.18212500000001</v>
      </c>
      <c r="DB97" s="124">
        <f aca="true" t="shared" si="352" ref="DB97:DG97">DB156+DB197</f>
        <v>30.76840999999997</v>
      </c>
      <c r="DC97" s="124">
        <f t="shared" si="352"/>
        <v>63.968804999999996</v>
      </c>
      <c r="DD97" s="123">
        <f t="shared" si="352"/>
        <v>77.48533499999999</v>
      </c>
      <c r="DE97" s="124">
        <f t="shared" si="352"/>
        <v>80.05045000000001</v>
      </c>
      <c r="DF97" s="124">
        <f t="shared" si="352"/>
        <v>88.22719999999998</v>
      </c>
      <c r="DG97" s="124">
        <f t="shared" si="352"/>
        <v>71.60560000000007</v>
      </c>
      <c r="DH97" s="123">
        <f aca="true" t="shared" si="353" ref="DH97:DM97">DH156+DH197</f>
        <v>122.60110000000003</v>
      </c>
      <c r="DI97" s="124">
        <f t="shared" si="353"/>
        <v>117.48875</v>
      </c>
      <c r="DJ97" s="124">
        <f t="shared" si="353"/>
        <v>117.73759999999999</v>
      </c>
      <c r="DK97" s="124">
        <f t="shared" si="353"/>
        <v>108.57397999999992</v>
      </c>
      <c r="DL97" s="123">
        <f t="shared" si="353"/>
        <v>80.03525</v>
      </c>
      <c r="DM97" s="124">
        <f t="shared" si="353"/>
        <v>21.014688</v>
      </c>
      <c r="DN97" s="124">
        <f aca="true" t="shared" si="354" ref="DN97:DS97">DN156+DN197</f>
        <v>30.7851</v>
      </c>
      <c r="DO97" s="124">
        <f t="shared" si="354"/>
        <v>115.28749000000002</v>
      </c>
      <c r="DP97" s="123">
        <f t="shared" si="354"/>
        <v>122.1984</v>
      </c>
      <c r="DQ97" s="124">
        <f t="shared" si="354"/>
        <v>58.07885</v>
      </c>
      <c r="DR97" s="124">
        <f t="shared" si="354"/>
        <v>132.600527</v>
      </c>
      <c r="DS97" s="124">
        <f t="shared" si="354"/>
        <v>94.16820000000001</v>
      </c>
      <c r="DT97" s="91"/>
      <c r="DU97" s="109">
        <v>69.3</v>
      </c>
      <c r="DV97" s="109">
        <v>66.00000000000001</v>
      </c>
      <c r="DW97" s="109">
        <v>70.29999999999998</v>
      </c>
      <c r="DX97" s="340">
        <v>56.70000000000002</v>
      </c>
      <c r="DY97" s="341">
        <v>55.5337</v>
      </c>
      <c r="DZ97" s="109">
        <f>FQ97-DY97</f>
        <v>47.905075000000004</v>
      </c>
      <c r="EA97" s="109">
        <f aca="true" t="shared" si="355" ref="EA97:EB103">FR97-FQ97</f>
        <v>44.215129999999945</v>
      </c>
      <c r="EB97" s="340">
        <f t="shared" si="355"/>
        <v>60.04609500000004</v>
      </c>
      <c r="EC97" s="341">
        <v>52.629985</v>
      </c>
      <c r="ED97" s="109">
        <f>FT97-EC97</f>
        <v>65.33186</v>
      </c>
      <c r="EE97" s="109">
        <f>FU97-EC97-ED97</f>
        <v>42.995344999999986</v>
      </c>
      <c r="EF97" s="109">
        <f>FV97-EE97-ED97-EC97</f>
        <v>88.20213500000003</v>
      </c>
      <c r="EG97" s="341">
        <v>40.400544999999994</v>
      </c>
      <c r="EH97" s="109">
        <f>FW97-EG97</f>
        <v>71.568835</v>
      </c>
      <c r="EI97" s="109">
        <f>FX97-EH97-EG97</f>
        <v>33.45442</v>
      </c>
      <c r="EJ97" s="109">
        <f>FY97-EI97-EH97-EG97</f>
        <v>29.688154999999995</v>
      </c>
      <c r="EK97" s="420">
        <v>36.76243500000001</v>
      </c>
      <c r="EL97" s="109">
        <f>FZ97-EK97</f>
        <v>38.20979999999999</v>
      </c>
      <c r="EM97" s="109">
        <f>GA97-EL97-EK97</f>
        <v>29.34747</v>
      </c>
      <c r="EN97" s="109">
        <f>GB97-EM97-EL97-EK97</f>
        <v>26.596115000000026</v>
      </c>
      <c r="EO97" s="341">
        <v>31.60319</v>
      </c>
      <c r="EP97" s="109">
        <f>GC97-EO97</f>
        <v>50.95735499999999</v>
      </c>
      <c r="EQ97" s="109">
        <f aca="true" t="shared" si="356" ref="EQ97:ER101">GD97-GC97</f>
        <v>25.918425</v>
      </c>
      <c r="ER97" s="109">
        <f t="shared" si="356"/>
        <v>51.45655999999998</v>
      </c>
      <c r="ES97" s="420">
        <v>39.14924</v>
      </c>
      <c r="ET97" s="109">
        <f>GF97-ES97</f>
        <v>38.564175</v>
      </c>
      <c r="EU97" s="109">
        <f>GG97-ET97-ES97</f>
        <v>32.72750999999999</v>
      </c>
      <c r="EV97" s="109">
        <f>GH97-GG97</f>
        <v>53.58365499999999</v>
      </c>
      <c r="EW97" s="341">
        <v>70.44025699999999</v>
      </c>
      <c r="EX97" s="109">
        <f>GI97-EW97</f>
        <v>94.56165</v>
      </c>
      <c r="EY97" s="109">
        <f>GJ97-EX97-EW97</f>
        <v>76.99609400000001</v>
      </c>
      <c r="EZ97" s="109">
        <f>GK97-GJ97</f>
        <v>75.27768600000007</v>
      </c>
      <c r="FA97" s="341">
        <v>97.67368</v>
      </c>
      <c r="FB97" s="109">
        <f>GL97-FA97</f>
        <v>127.05268100000002</v>
      </c>
      <c r="FC97" s="109">
        <f aca="true" t="shared" si="357" ref="FC97:FD101">GM97-GL97</f>
        <v>78.48522599999993</v>
      </c>
      <c r="FD97" s="109">
        <f t="shared" si="357"/>
        <v>136.69350000000003</v>
      </c>
      <c r="FE97" s="341">
        <v>127.13165000000001</v>
      </c>
      <c r="FF97" s="109">
        <f>GO97-FE97</f>
        <v>21.144687999999974</v>
      </c>
      <c r="FG97" s="109">
        <f aca="true" t="shared" si="358" ref="FG97:FH101">GP97-GO97</f>
        <v>24.786800000000028</v>
      </c>
      <c r="FH97" s="109">
        <f t="shared" si="358"/>
        <v>115.28748999999996</v>
      </c>
      <c r="FI97" s="341">
        <v>108.60030000000002</v>
      </c>
      <c r="FJ97" s="109">
        <f>GR97-FI97</f>
        <v>58.078849999999974</v>
      </c>
      <c r="FK97" s="109">
        <f>GS97-GR97</f>
        <v>132.60052700000006</v>
      </c>
      <c r="FL97" s="109">
        <f>GT97-GS97</f>
        <v>94.16819999999996</v>
      </c>
      <c r="FM97" s="63"/>
      <c r="FN97" s="110">
        <f aca="true" t="shared" si="359" ref="FN97:FW97">FN46</f>
        <v>135.3</v>
      </c>
      <c r="FO97" s="110">
        <f t="shared" si="359"/>
        <v>205.6</v>
      </c>
      <c r="FP97" s="110">
        <f t="shared" si="359"/>
        <v>262.3</v>
      </c>
      <c r="FQ97" s="110">
        <f t="shared" si="359"/>
        <v>103.438775</v>
      </c>
      <c r="FR97" s="110">
        <f t="shared" si="359"/>
        <v>147.65390499999995</v>
      </c>
      <c r="FS97" s="110">
        <f t="shared" si="359"/>
        <v>207.7</v>
      </c>
      <c r="FT97" s="110">
        <f t="shared" si="359"/>
        <v>117.96184500000001</v>
      </c>
      <c r="FU97" s="110">
        <f t="shared" si="359"/>
        <v>160.95719</v>
      </c>
      <c r="FV97" s="110">
        <f t="shared" si="359"/>
        <v>249.15932500000002</v>
      </c>
      <c r="FW97" s="110">
        <f t="shared" si="359"/>
        <v>111.96938</v>
      </c>
      <c r="FX97" s="110">
        <v>145.4238</v>
      </c>
      <c r="FY97" s="110">
        <v>175.111955</v>
      </c>
      <c r="FZ97" s="110">
        <v>74.972235</v>
      </c>
      <c r="GA97" s="110">
        <v>104.319705</v>
      </c>
      <c r="GB97" s="110">
        <v>130.91582000000002</v>
      </c>
      <c r="GC97" s="110">
        <v>82.56054499999999</v>
      </c>
      <c r="GD97" s="110">
        <v>108.47896999999999</v>
      </c>
      <c r="GE97" s="110">
        <v>159.93552999999997</v>
      </c>
      <c r="GF97" s="110">
        <v>77.713415</v>
      </c>
      <c r="GG97" s="110">
        <v>110.440925</v>
      </c>
      <c r="GH97" s="110">
        <v>164.02458</v>
      </c>
      <c r="GI97" s="110">
        <v>165.001907</v>
      </c>
      <c r="GJ97" s="110">
        <v>241.998001</v>
      </c>
      <c r="GK97" s="110">
        <v>317.27568700000006</v>
      </c>
      <c r="GL97" s="110">
        <v>224.72636100000003</v>
      </c>
      <c r="GM97" s="110">
        <v>303.21158699999995</v>
      </c>
      <c r="GN97" s="110">
        <v>439.905087</v>
      </c>
      <c r="GO97" s="110">
        <v>148.27633799999998</v>
      </c>
      <c r="GP97" s="110">
        <v>173.063138</v>
      </c>
      <c r="GQ97" s="110">
        <v>288.350628</v>
      </c>
      <c r="GR97" s="110">
        <v>166.67915</v>
      </c>
      <c r="GS97" s="110">
        <v>299.27967700000005</v>
      </c>
      <c r="GT97" s="110">
        <v>393.447877</v>
      </c>
    </row>
    <row r="98" spans="1:202" ht="15.75" customHeight="1">
      <c r="A98" s="130" t="s">
        <v>242</v>
      </c>
      <c r="B98" s="116" t="s">
        <v>243</v>
      </c>
      <c r="C98" s="252"/>
      <c r="D98" s="252"/>
      <c r="E98" s="252"/>
      <c r="F98" s="260"/>
      <c r="G98" s="259"/>
      <c r="H98" s="252"/>
      <c r="I98" s="252"/>
      <c r="J98" s="260"/>
      <c r="K98" s="259"/>
      <c r="L98" s="252"/>
      <c r="M98" s="252"/>
      <c r="N98" s="260"/>
      <c r="O98" s="259"/>
      <c r="P98" s="252"/>
      <c r="Q98" s="252"/>
      <c r="R98" s="252"/>
      <c r="S98" s="259"/>
      <c r="T98" s="252"/>
      <c r="U98" s="252"/>
      <c r="V98" s="252"/>
      <c r="W98" s="259"/>
      <c r="X98" s="252"/>
      <c r="Y98" s="252"/>
      <c r="Z98" s="252"/>
      <c r="AA98" s="259"/>
      <c r="AB98" s="252"/>
      <c r="AC98" s="252"/>
      <c r="AD98" s="252"/>
      <c r="AE98" s="259">
        <f>AE157</f>
        <v>10.328529999999999</v>
      </c>
      <c r="AF98" s="252">
        <f aca="true" t="shared" si="360" ref="AF98:AL98">AF157</f>
        <v>13.86416</v>
      </c>
      <c r="AG98" s="252">
        <f t="shared" si="360"/>
        <v>17.1704</v>
      </c>
      <c r="AH98" s="267">
        <f t="shared" si="360"/>
        <v>18.756149999999998</v>
      </c>
      <c r="AI98" s="275">
        <f t="shared" si="360"/>
        <v>14.5199</v>
      </c>
      <c r="AJ98" s="252">
        <f t="shared" si="360"/>
        <v>15.2728</v>
      </c>
      <c r="AK98" s="252">
        <f t="shared" si="360"/>
        <v>24.344600000000003</v>
      </c>
      <c r="AL98" s="252">
        <f t="shared" si="360"/>
        <v>17.37035</v>
      </c>
      <c r="AM98" s="275">
        <f aca="true" t="shared" si="361" ref="AM98:AR98">AM157</f>
        <v>26.7981</v>
      </c>
      <c r="AN98" s="252">
        <f t="shared" si="361"/>
        <v>26.149649999999998</v>
      </c>
      <c r="AO98" s="252">
        <f t="shared" si="361"/>
        <v>32.727500000000006</v>
      </c>
      <c r="AP98" s="252">
        <f t="shared" si="361"/>
        <v>33.34015000000001</v>
      </c>
      <c r="AQ98" s="259">
        <f t="shared" si="361"/>
        <v>28.587550000000004</v>
      </c>
      <c r="AR98" s="252">
        <f t="shared" si="361"/>
        <v>30.94465</v>
      </c>
      <c r="AS98" s="252">
        <f aca="true" t="shared" si="362" ref="AS98:AX98">AS157</f>
        <v>36.90340754</v>
      </c>
      <c r="AT98" s="252">
        <f t="shared" si="362"/>
        <v>34.868300000000005</v>
      </c>
      <c r="AU98" s="275">
        <f t="shared" si="362"/>
        <v>44.62518</v>
      </c>
      <c r="AV98" s="252">
        <f t="shared" si="362"/>
        <v>21.190799999999996</v>
      </c>
      <c r="AW98" s="252">
        <f t="shared" si="362"/>
        <v>25.848900000000015</v>
      </c>
      <c r="AX98" s="267">
        <f t="shared" si="362"/>
        <v>47.98479999999998</v>
      </c>
      <c r="AY98" s="259">
        <f aca="true" t="shared" si="363" ref="AY98:BD98">AY157</f>
        <v>40.67035</v>
      </c>
      <c r="AZ98" s="252">
        <f t="shared" si="363"/>
        <v>38.6633</v>
      </c>
      <c r="BA98" s="252">
        <f t="shared" si="363"/>
        <v>41.087050000000005</v>
      </c>
      <c r="BB98" s="252">
        <f t="shared" si="363"/>
        <v>50.03060000000002</v>
      </c>
      <c r="BC98" s="259">
        <f t="shared" si="363"/>
        <v>45.67087</v>
      </c>
      <c r="BD98" s="252">
        <f t="shared" si="363"/>
        <v>11.2665</v>
      </c>
      <c r="BE98" s="252">
        <f aca="true" t="shared" si="364" ref="BE98:BH99">BE157</f>
        <v>13.513000000000005</v>
      </c>
      <c r="BF98" s="252">
        <f t="shared" si="364"/>
        <v>13.218500000000006</v>
      </c>
      <c r="BG98" s="259">
        <f t="shared" si="364"/>
        <v>7.3263</v>
      </c>
      <c r="BH98" s="252">
        <f t="shared" si="364"/>
        <v>22.6565</v>
      </c>
      <c r="BI98" s="252">
        <f>BI157</f>
        <v>26.415199999999995</v>
      </c>
      <c r="BJ98" s="252">
        <f>BJ157</f>
        <v>18.390299999999993</v>
      </c>
      <c r="BK98" s="619"/>
      <c r="BL98" s="121"/>
      <c r="BM98" s="121"/>
      <c r="BN98" s="121"/>
      <c r="BO98" s="122"/>
      <c r="BP98" s="123"/>
      <c r="BQ98" s="124"/>
      <c r="BR98" s="124"/>
      <c r="BS98" s="125"/>
      <c r="BT98" s="123"/>
      <c r="BU98" s="124"/>
      <c r="BV98" s="124"/>
      <c r="BW98" s="125"/>
      <c r="BX98" s="123"/>
      <c r="BY98" s="124"/>
      <c r="BZ98" s="124"/>
      <c r="CA98" s="124"/>
      <c r="CB98" s="123"/>
      <c r="CC98" s="124"/>
      <c r="CD98" s="124"/>
      <c r="CE98" s="124"/>
      <c r="CF98" s="123"/>
      <c r="CG98" s="124"/>
      <c r="CH98" s="124"/>
      <c r="CI98" s="124"/>
      <c r="CJ98" s="123"/>
      <c r="CK98" s="124"/>
      <c r="CL98" s="124"/>
      <c r="CM98" s="407"/>
      <c r="CN98" s="123">
        <f>CN157</f>
        <v>10.328529999999999</v>
      </c>
      <c r="CO98" s="124">
        <f aca="true" t="shared" si="365" ref="CO98:CU98">CO157</f>
        <v>13.86416</v>
      </c>
      <c r="CP98" s="124">
        <f t="shared" si="365"/>
        <v>17.1704</v>
      </c>
      <c r="CQ98" s="124">
        <f t="shared" si="365"/>
        <v>18.76215</v>
      </c>
      <c r="CR98" s="473">
        <f t="shared" si="365"/>
        <v>14.4861</v>
      </c>
      <c r="CS98" s="124">
        <f t="shared" si="365"/>
        <v>13.90785</v>
      </c>
      <c r="CT98" s="124">
        <f t="shared" si="365"/>
        <v>25.745900000000002</v>
      </c>
      <c r="CU98" s="124">
        <f t="shared" si="365"/>
        <v>16.17379999999999</v>
      </c>
      <c r="CV98" s="123">
        <f aca="true" t="shared" si="366" ref="CV98:DA98">CV157</f>
        <v>25.165200000000002</v>
      </c>
      <c r="CW98" s="124">
        <f t="shared" si="366"/>
        <v>26.746749999999995</v>
      </c>
      <c r="CX98" s="124">
        <f t="shared" si="366"/>
        <v>33.33170000000001</v>
      </c>
      <c r="CY98" s="124">
        <f t="shared" si="366"/>
        <v>34.93695000000001</v>
      </c>
      <c r="CZ98" s="123">
        <f t="shared" si="366"/>
        <v>26.76675</v>
      </c>
      <c r="DA98" s="124">
        <f t="shared" si="366"/>
        <v>32.279849999999996</v>
      </c>
      <c r="DB98" s="124">
        <f aca="true" t="shared" si="367" ref="DB98:DG98">DB157</f>
        <v>35.26116754000002</v>
      </c>
      <c r="DC98" s="124">
        <f t="shared" si="367"/>
        <v>36.590539999999976</v>
      </c>
      <c r="DD98" s="123">
        <f t="shared" si="367"/>
        <v>44.65848</v>
      </c>
      <c r="DE98" s="124">
        <f t="shared" si="367"/>
        <v>21.6207</v>
      </c>
      <c r="DF98" s="124">
        <f t="shared" si="367"/>
        <v>25.83890000000001</v>
      </c>
      <c r="DG98" s="124">
        <f t="shared" si="367"/>
        <v>47.98559999999999</v>
      </c>
      <c r="DH98" s="123">
        <f aca="true" t="shared" si="368" ref="DH98:DM98">DH157</f>
        <v>40.22955</v>
      </c>
      <c r="DI98" s="124">
        <f t="shared" si="368"/>
        <v>38.08969999999999</v>
      </c>
      <c r="DJ98" s="124">
        <f t="shared" si="368"/>
        <v>40.25865</v>
      </c>
      <c r="DK98" s="124">
        <f t="shared" si="368"/>
        <v>46.8638</v>
      </c>
      <c r="DL98" s="123">
        <f t="shared" si="368"/>
        <v>50.688469999999995</v>
      </c>
      <c r="DM98" s="124">
        <f t="shared" si="368"/>
        <v>11.266500000000002</v>
      </c>
      <c r="DN98" s="124">
        <f aca="true" t="shared" si="369" ref="DN98:DQ99">DN157</f>
        <v>13.512300000000002</v>
      </c>
      <c r="DO98" s="124">
        <f t="shared" si="369"/>
        <v>9.379199999999999</v>
      </c>
      <c r="DP98" s="123">
        <f t="shared" si="369"/>
        <v>11.1663</v>
      </c>
      <c r="DQ98" s="124">
        <f t="shared" si="369"/>
        <v>16.5125</v>
      </c>
      <c r="DR98" s="124">
        <f>DR157</f>
        <v>31.047200000000004</v>
      </c>
      <c r="DS98" s="124">
        <f>DS157</f>
        <v>12.209500000000006</v>
      </c>
      <c r="DT98" s="91"/>
      <c r="DU98" s="109"/>
      <c r="DV98" s="109"/>
      <c r="DW98" s="109"/>
      <c r="DX98" s="340"/>
      <c r="DY98" s="341"/>
      <c r="DZ98" s="109"/>
      <c r="EA98" s="109"/>
      <c r="EB98" s="340"/>
      <c r="EC98" s="341"/>
      <c r="ED98" s="109"/>
      <c r="EE98" s="109"/>
      <c r="EF98" s="109"/>
      <c r="EG98" s="341">
        <v>9</v>
      </c>
      <c r="EH98" s="109">
        <f>FW98-EG98</f>
        <v>8</v>
      </c>
      <c r="EI98" s="109">
        <f>FX98-EH98-EG98</f>
        <v>16</v>
      </c>
      <c r="EJ98" s="109">
        <f>FY98-EI98-EH98-EG98</f>
        <v>17.9</v>
      </c>
      <c r="EK98" s="420">
        <v>16.3</v>
      </c>
      <c r="EL98" s="109">
        <f>FZ98-EK98</f>
        <v>15.2</v>
      </c>
      <c r="EM98" s="109">
        <f>GA98-EL98-EK98</f>
        <v>22.999999999999996</v>
      </c>
      <c r="EN98" s="109">
        <f>GB98-EM98-EL98-EK98</f>
        <v>20.948665999999985</v>
      </c>
      <c r="EO98" s="341">
        <v>24.219</v>
      </c>
      <c r="EP98" s="109">
        <f>GC98-EO98</f>
        <v>24.52855000000001</v>
      </c>
      <c r="EQ98" s="109">
        <f t="shared" si="356"/>
        <v>40.89159999999999</v>
      </c>
      <c r="ER98" s="109">
        <f t="shared" si="356"/>
        <v>31.74495000000003</v>
      </c>
      <c r="ES98" s="420">
        <v>23.025950000000005</v>
      </c>
      <c r="ET98" s="109">
        <f>GF98-ES98</f>
        <v>29.89905</v>
      </c>
      <c r="EU98" s="109">
        <f>GG98-ET98-ES98</f>
        <v>30.439714539999972</v>
      </c>
      <c r="EV98" s="109">
        <f>GH98-GG98</f>
        <v>35.261223000000044</v>
      </c>
      <c r="EW98" s="341">
        <v>34.21848</v>
      </c>
      <c r="EX98" s="109">
        <f>GI98-EW98</f>
        <v>24.211499999999987</v>
      </c>
      <c r="EY98" s="109">
        <f>GJ98-EX98-EW98</f>
        <v>21.988500000000016</v>
      </c>
      <c r="EZ98" s="109">
        <f>GK98-GJ98</f>
        <v>73.01910200000002</v>
      </c>
      <c r="FA98" s="341">
        <v>36.88852899999999</v>
      </c>
      <c r="FB98" s="109">
        <f>GL98-FA98</f>
        <v>31.734899999999996</v>
      </c>
      <c r="FC98" s="109">
        <f t="shared" si="357"/>
        <v>40.45625000000001</v>
      </c>
      <c r="FD98" s="109">
        <f t="shared" si="357"/>
        <v>41.08340000000001</v>
      </c>
      <c r="FE98" s="341">
        <v>48.510570000000016</v>
      </c>
      <c r="FF98" s="109">
        <f>GO98-FE98</f>
        <v>12.297401999999977</v>
      </c>
      <c r="FG98" s="109">
        <f t="shared" si="358"/>
        <v>13.797398000000001</v>
      </c>
      <c r="FH98" s="109">
        <f t="shared" si="358"/>
        <v>10.9392</v>
      </c>
      <c r="FI98" s="341">
        <v>14.9727</v>
      </c>
      <c r="FJ98" s="109">
        <f>GR98-FI98</f>
        <v>16.5125</v>
      </c>
      <c r="FK98" s="109">
        <f>GS98-GR98</f>
        <v>31.047199999999997</v>
      </c>
      <c r="FL98" s="109">
        <f>GT98-GS98</f>
        <v>12.209500000000006</v>
      </c>
      <c r="FM98" s="63"/>
      <c r="FN98" s="110"/>
      <c r="FO98" s="110"/>
      <c r="FP98" s="110"/>
      <c r="FQ98" s="110"/>
      <c r="FR98" s="110"/>
      <c r="FS98" s="110"/>
      <c r="FT98" s="110"/>
      <c r="FU98" s="110"/>
      <c r="FV98" s="110">
        <v>33</v>
      </c>
      <c r="FW98" s="110">
        <v>17</v>
      </c>
      <c r="FX98" s="110">
        <v>33</v>
      </c>
      <c r="FY98" s="110">
        <v>50.9</v>
      </c>
      <c r="FZ98" s="110">
        <v>31.5</v>
      </c>
      <c r="GA98" s="110">
        <v>54.5</v>
      </c>
      <c r="GB98" s="110">
        <v>75.44866599999999</v>
      </c>
      <c r="GC98" s="110">
        <v>48.74755000000001</v>
      </c>
      <c r="GD98" s="110">
        <v>89.63915</v>
      </c>
      <c r="GE98" s="110">
        <v>121.38410000000003</v>
      </c>
      <c r="GF98" s="110">
        <v>52.925000000000004</v>
      </c>
      <c r="GG98" s="110">
        <v>83.36471453999998</v>
      </c>
      <c r="GH98" s="110">
        <v>118.62593754000002</v>
      </c>
      <c r="GI98" s="110">
        <v>58.429979999999986</v>
      </c>
      <c r="GJ98" s="110">
        <v>80.41848</v>
      </c>
      <c r="GK98" s="110">
        <v>153.43758200000002</v>
      </c>
      <c r="GL98" s="110">
        <v>68.62342899999999</v>
      </c>
      <c r="GM98" s="110">
        <v>109.079679</v>
      </c>
      <c r="GN98" s="110">
        <v>150.163079</v>
      </c>
      <c r="GO98" s="110">
        <v>60.80797199999999</v>
      </c>
      <c r="GP98" s="110">
        <v>74.60537</v>
      </c>
      <c r="GQ98" s="110">
        <v>85.54457</v>
      </c>
      <c r="GR98" s="110">
        <v>31.4852</v>
      </c>
      <c r="GS98" s="110">
        <v>62.532399999999996</v>
      </c>
      <c r="GT98" s="110">
        <v>74.7419</v>
      </c>
    </row>
    <row r="99" spans="1:202" ht="15.75" customHeight="1">
      <c r="A99" s="116" t="s">
        <v>287</v>
      </c>
      <c r="B99" s="116" t="s">
        <v>288</v>
      </c>
      <c r="C99" s="252"/>
      <c r="D99" s="252"/>
      <c r="E99" s="252"/>
      <c r="F99" s="260"/>
      <c r="G99" s="259"/>
      <c r="H99" s="252"/>
      <c r="I99" s="252"/>
      <c r="J99" s="260"/>
      <c r="K99" s="259"/>
      <c r="L99" s="252"/>
      <c r="M99" s="252"/>
      <c r="N99" s="260"/>
      <c r="O99" s="259"/>
      <c r="P99" s="252"/>
      <c r="Q99" s="252"/>
      <c r="R99" s="252"/>
      <c r="S99" s="259"/>
      <c r="T99" s="252"/>
      <c r="U99" s="252"/>
      <c r="V99" s="252"/>
      <c r="W99" s="259"/>
      <c r="X99" s="252"/>
      <c r="Y99" s="252"/>
      <c r="Z99" s="252"/>
      <c r="AA99" s="259"/>
      <c r="AB99" s="252"/>
      <c r="AC99" s="252"/>
      <c r="AD99" s="252"/>
      <c r="AE99" s="259"/>
      <c r="AF99" s="252"/>
      <c r="AG99" s="252"/>
      <c r="AH99" s="267"/>
      <c r="AI99" s="275"/>
      <c r="AJ99" s="252"/>
      <c r="AK99" s="252"/>
      <c r="AL99" s="252"/>
      <c r="AM99" s="275"/>
      <c r="AN99" s="252"/>
      <c r="AO99" s="252"/>
      <c r="AP99" s="252"/>
      <c r="AQ99" s="259"/>
      <c r="AR99" s="252"/>
      <c r="AS99" s="252"/>
      <c r="AT99" s="252"/>
      <c r="AU99" s="275"/>
      <c r="AV99" s="252"/>
      <c r="AW99" s="252"/>
      <c r="AX99" s="267"/>
      <c r="AY99" s="259"/>
      <c r="AZ99" s="252"/>
      <c r="BA99" s="252"/>
      <c r="BB99" s="252"/>
      <c r="BC99" s="259"/>
      <c r="BD99" s="252"/>
      <c r="BE99" s="252">
        <f t="shared" si="364"/>
        <v>1.084</v>
      </c>
      <c r="BF99" s="252">
        <f t="shared" si="364"/>
        <v>2.776</v>
      </c>
      <c r="BG99" s="259">
        <f t="shared" si="364"/>
        <v>3.103</v>
      </c>
      <c r="BH99" s="252">
        <f t="shared" si="364"/>
        <v>2.157999999999999</v>
      </c>
      <c r="BI99" s="252">
        <f>BI158</f>
        <v>2.329</v>
      </c>
      <c r="BJ99" s="252">
        <f>BJ158</f>
        <v>3.129</v>
      </c>
      <c r="BK99" s="619"/>
      <c r="BL99" s="121"/>
      <c r="BM99" s="121"/>
      <c r="BN99" s="121"/>
      <c r="BO99" s="122"/>
      <c r="BP99" s="123"/>
      <c r="BQ99" s="124"/>
      <c r="BR99" s="124"/>
      <c r="BS99" s="125"/>
      <c r="BT99" s="123"/>
      <c r="BU99" s="124"/>
      <c r="BV99" s="124"/>
      <c r="BW99" s="125"/>
      <c r="BX99" s="123"/>
      <c r="BY99" s="124"/>
      <c r="BZ99" s="124"/>
      <c r="CA99" s="124"/>
      <c r="CB99" s="123"/>
      <c r="CC99" s="124"/>
      <c r="CD99" s="124"/>
      <c r="CE99" s="124"/>
      <c r="CF99" s="123"/>
      <c r="CG99" s="124"/>
      <c r="CH99" s="124"/>
      <c r="CI99" s="124"/>
      <c r="CJ99" s="123"/>
      <c r="CK99" s="124"/>
      <c r="CL99" s="124"/>
      <c r="CM99" s="407"/>
      <c r="CN99" s="123"/>
      <c r="CO99" s="124"/>
      <c r="CP99" s="124"/>
      <c r="CQ99" s="124"/>
      <c r="CR99" s="473"/>
      <c r="CS99" s="124"/>
      <c r="CT99" s="124"/>
      <c r="CU99" s="124"/>
      <c r="CV99" s="123"/>
      <c r="CW99" s="124"/>
      <c r="CX99" s="124"/>
      <c r="CY99" s="124"/>
      <c r="CZ99" s="123"/>
      <c r="DA99" s="124"/>
      <c r="DB99" s="124"/>
      <c r="DC99" s="124"/>
      <c r="DD99" s="123"/>
      <c r="DE99" s="124"/>
      <c r="DF99" s="124"/>
      <c r="DG99" s="124"/>
      <c r="DH99" s="123"/>
      <c r="DI99" s="124"/>
      <c r="DJ99" s="124"/>
      <c r="DK99" s="124"/>
      <c r="DL99" s="123"/>
      <c r="DM99" s="124"/>
      <c r="DN99" s="124">
        <f t="shared" si="369"/>
        <v>0.6639999999999999</v>
      </c>
      <c r="DO99" s="124">
        <f t="shared" si="369"/>
        <v>3.128</v>
      </c>
      <c r="DP99" s="123">
        <f t="shared" si="369"/>
        <v>3.082</v>
      </c>
      <c r="DQ99" s="124">
        <f t="shared" si="369"/>
        <v>2.192</v>
      </c>
      <c r="DR99" s="124">
        <f>DR158</f>
        <v>2.384</v>
      </c>
      <c r="DS99" s="124">
        <f>DS158</f>
        <v>3.128999999999999</v>
      </c>
      <c r="DT99" s="91"/>
      <c r="DU99" s="109"/>
      <c r="DV99" s="109"/>
      <c r="DW99" s="109"/>
      <c r="DX99" s="340"/>
      <c r="DY99" s="341"/>
      <c r="DZ99" s="109"/>
      <c r="EA99" s="109"/>
      <c r="EB99" s="340"/>
      <c r="EC99" s="341"/>
      <c r="ED99" s="109"/>
      <c r="EE99" s="109"/>
      <c r="EF99" s="109"/>
      <c r="EG99" s="341"/>
      <c r="EH99" s="109"/>
      <c r="EI99" s="109"/>
      <c r="EJ99" s="109"/>
      <c r="EK99" s="420"/>
      <c r="EL99" s="109"/>
      <c r="EM99" s="109"/>
      <c r="EN99" s="109"/>
      <c r="EO99" s="341"/>
      <c r="EP99" s="109"/>
      <c r="EQ99" s="109"/>
      <c r="ER99" s="109"/>
      <c r="ES99" s="420"/>
      <c r="ET99" s="109"/>
      <c r="EU99" s="109"/>
      <c r="EV99" s="109"/>
      <c r="EW99" s="341"/>
      <c r="EX99" s="109"/>
      <c r="EY99" s="109"/>
      <c r="EZ99" s="109"/>
      <c r="FA99" s="341"/>
      <c r="FB99" s="109"/>
      <c r="FC99" s="109"/>
      <c r="FD99" s="109"/>
      <c r="FE99" s="341"/>
      <c r="FF99" s="109"/>
      <c r="FG99" s="616">
        <f t="shared" si="358"/>
        <v>0.664</v>
      </c>
      <c r="FH99" s="109">
        <f t="shared" si="358"/>
        <v>3.128</v>
      </c>
      <c r="FI99" s="341">
        <v>3.082</v>
      </c>
      <c r="FJ99" s="109">
        <f>GR99-FI99</f>
        <v>2.192</v>
      </c>
      <c r="FK99" s="109">
        <f>GS99-GR99</f>
        <v>2.3840000000000003</v>
      </c>
      <c r="FL99" s="109">
        <f>GT99-GS99</f>
        <v>3.1290000000000004</v>
      </c>
      <c r="FM99" s="63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  <c r="GK99" s="110"/>
      <c r="GL99" s="110"/>
      <c r="GM99" s="110"/>
      <c r="GN99" s="110"/>
      <c r="GO99" s="110"/>
      <c r="GP99" s="110">
        <v>0.664</v>
      </c>
      <c r="GQ99" s="110">
        <v>3.7920000000000003</v>
      </c>
      <c r="GR99" s="110">
        <v>5.274</v>
      </c>
      <c r="GS99" s="110">
        <v>7.658</v>
      </c>
      <c r="GT99" s="110">
        <v>10.787</v>
      </c>
    </row>
    <row r="100" spans="1:202" ht="15.75">
      <c r="A100" s="116" t="s">
        <v>83</v>
      </c>
      <c r="B100" s="117" t="s">
        <v>19</v>
      </c>
      <c r="C100" s="252">
        <f aca="true" t="shared" si="370" ref="C100:AL100">C159+C198</f>
        <v>108.648</v>
      </c>
      <c r="D100" s="252">
        <f t="shared" si="370"/>
        <v>134.73000000000002</v>
      </c>
      <c r="E100" s="252">
        <f t="shared" si="370"/>
        <v>128.44619999999998</v>
      </c>
      <c r="F100" s="260">
        <f t="shared" si="370"/>
        <v>155.45420000000001</v>
      </c>
      <c r="G100" s="259">
        <f t="shared" si="370"/>
        <v>55.6</v>
      </c>
      <c r="H100" s="252">
        <f t="shared" si="370"/>
        <v>87.42120500000001</v>
      </c>
      <c r="I100" s="252">
        <f t="shared" si="370"/>
        <v>110.378795</v>
      </c>
      <c r="J100" s="260">
        <f t="shared" si="370"/>
        <v>103.1</v>
      </c>
      <c r="K100" s="259">
        <f t="shared" si="370"/>
        <v>68.22088</v>
      </c>
      <c r="L100" s="252">
        <f t="shared" si="370"/>
        <v>97.67912</v>
      </c>
      <c r="M100" s="252">
        <f t="shared" si="370"/>
        <v>111.18299999999999</v>
      </c>
      <c r="N100" s="260">
        <f t="shared" si="370"/>
        <v>87.70999999999998</v>
      </c>
      <c r="O100" s="259">
        <f t="shared" si="370"/>
        <v>78.52</v>
      </c>
      <c r="P100" s="252">
        <f t="shared" si="370"/>
        <v>84.10685000000001</v>
      </c>
      <c r="Q100" s="252">
        <f t="shared" si="370"/>
        <v>72.17314999999999</v>
      </c>
      <c r="R100" s="252">
        <f t="shared" si="370"/>
        <v>69.29999999999998</v>
      </c>
      <c r="S100" s="259">
        <f t="shared" si="370"/>
        <v>52</v>
      </c>
      <c r="T100" s="252">
        <f t="shared" si="370"/>
        <v>69.842</v>
      </c>
      <c r="U100" s="252">
        <f t="shared" si="370"/>
        <v>64.77440000000001</v>
      </c>
      <c r="V100" s="252">
        <f t="shared" si="370"/>
        <v>65.89955499999998</v>
      </c>
      <c r="W100" s="259">
        <f t="shared" si="370"/>
        <v>86.21545</v>
      </c>
      <c r="X100" s="252">
        <f t="shared" si="370"/>
        <v>100.68031000000002</v>
      </c>
      <c r="Y100" s="252">
        <f t="shared" si="370"/>
        <v>96.90423999999997</v>
      </c>
      <c r="Z100" s="252">
        <f t="shared" si="370"/>
        <v>99.10000000000002</v>
      </c>
      <c r="AA100" s="259">
        <f t="shared" si="370"/>
        <v>94.18588</v>
      </c>
      <c r="AB100" s="252">
        <f t="shared" si="370"/>
        <v>90.58385999999986</v>
      </c>
      <c r="AC100" s="252">
        <f t="shared" si="370"/>
        <v>98.03171000000015</v>
      </c>
      <c r="AD100" s="252">
        <f t="shared" si="370"/>
        <v>121.72304999999605</v>
      </c>
      <c r="AE100" s="259">
        <f t="shared" si="370"/>
        <v>110.41359</v>
      </c>
      <c r="AF100" s="252">
        <f t="shared" si="370"/>
        <v>90.79315</v>
      </c>
      <c r="AG100" s="252">
        <f t="shared" si="370"/>
        <v>118.75208999999998</v>
      </c>
      <c r="AH100" s="267">
        <f t="shared" si="370"/>
        <v>129.32786000000004</v>
      </c>
      <c r="AI100" s="275">
        <f t="shared" si="370"/>
        <v>126.2949</v>
      </c>
      <c r="AJ100" s="252">
        <f t="shared" si="370"/>
        <v>136.9051</v>
      </c>
      <c r="AK100" s="252">
        <f t="shared" si="370"/>
        <v>116.77562300000004</v>
      </c>
      <c r="AL100" s="252">
        <f t="shared" si="370"/>
        <v>134.05246</v>
      </c>
      <c r="AM100" s="275">
        <f aca="true" t="shared" si="371" ref="AM100:AO101">AM159+AM198</f>
        <v>118.910524</v>
      </c>
      <c r="AN100" s="252">
        <f t="shared" si="371"/>
        <v>125.09493000000002</v>
      </c>
      <c r="AO100" s="252">
        <f t="shared" si="371"/>
        <v>112.84580000000001</v>
      </c>
      <c r="AP100" s="252">
        <f aca="true" t="shared" si="372" ref="AP100:AR101">AP159+AP198</f>
        <v>116.38485000000001</v>
      </c>
      <c r="AQ100" s="259">
        <f t="shared" si="372"/>
        <v>105.84203</v>
      </c>
      <c r="AR100" s="252">
        <f t="shared" si="372"/>
        <v>111.506455</v>
      </c>
      <c r="AS100" s="252">
        <f aca="true" t="shared" si="373" ref="AS100:AU101">AS159+AS198</f>
        <v>124.20124999999996</v>
      </c>
      <c r="AT100" s="252">
        <f t="shared" si="373"/>
        <v>124.79036000000002</v>
      </c>
      <c r="AU100" s="275">
        <f t="shared" si="373"/>
        <v>113.08299000000001</v>
      </c>
      <c r="AV100" s="252">
        <f aca="true" t="shared" si="374" ref="AV100:AX101">AV159+AV198</f>
        <v>130.01045999999997</v>
      </c>
      <c r="AW100" s="252">
        <f t="shared" si="374"/>
        <v>130.39268000000007</v>
      </c>
      <c r="AX100" s="267">
        <f t="shared" si="374"/>
        <v>141.875586</v>
      </c>
      <c r="AY100" s="259">
        <f aca="true" t="shared" si="375" ref="AY100:BA101">AY159+AY198</f>
        <v>110.75742999999999</v>
      </c>
      <c r="AZ100" s="252">
        <f t="shared" si="375"/>
        <v>125.74859999999998</v>
      </c>
      <c r="BA100" s="252">
        <f t="shared" si="375"/>
        <v>116.72591</v>
      </c>
      <c r="BB100" s="252">
        <f aca="true" t="shared" si="376" ref="BB100:BD101">BB159+BB198</f>
        <v>129.66984000000002</v>
      </c>
      <c r="BC100" s="259">
        <f t="shared" si="376"/>
        <v>110.25996</v>
      </c>
      <c r="BD100" s="252">
        <f t="shared" si="376"/>
        <v>133.73982</v>
      </c>
      <c r="BE100" s="252">
        <f aca="true" t="shared" si="377" ref="BE100:BH101">BE159+BE198</f>
        <v>135.98461999999998</v>
      </c>
      <c r="BF100" s="252">
        <f t="shared" si="377"/>
        <v>124.27711000000002</v>
      </c>
      <c r="BG100" s="259">
        <f t="shared" si="377"/>
        <v>105.95544999999998</v>
      </c>
      <c r="BH100" s="252">
        <f t="shared" si="377"/>
        <v>127.94138000000001</v>
      </c>
      <c r="BI100" s="252">
        <f>BI159+BI198</f>
        <v>135.14702999999997</v>
      </c>
      <c r="BJ100" s="252">
        <f>BJ159+BJ198</f>
        <v>113.68248999999999</v>
      </c>
      <c r="BK100" s="619"/>
      <c r="BL100" s="121">
        <f aca="true" t="shared" si="378" ref="BL100:CU100">BL159+BL198</f>
        <v>75.98337599999999</v>
      </c>
      <c r="BM100" s="121">
        <f t="shared" si="378"/>
        <v>112.712954</v>
      </c>
      <c r="BN100" s="121">
        <f t="shared" si="378"/>
        <v>124.12847999999998</v>
      </c>
      <c r="BO100" s="122">
        <f t="shared" si="378"/>
        <v>96.41129000000001</v>
      </c>
      <c r="BP100" s="123">
        <f t="shared" si="378"/>
        <v>55.6</v>
      </c>
      <c r="BQ100" s="124">
        <f t="shared" si="378"/>
        <v>87.44136500000002</v>
      </c>
      <c r="BR100" s="124">
        <f t="shared" si="378"/>
        <v>110.35863499999999</v>
      </c>
      <c r="BS100" s="125">
        <f t="shared" si="378"/>
        <v>103.1</v>
      </c>
      <c r="BT100" s="123">
        <f t="shared" si="378"/>
        <v>68.22088</v>
      </c>
      <c r="BU100" s="124">
        <f t="shared" si="378"/>
        <v>97.67912</v>
      </c>
      <c r="BV100" s="124">
        <f t="shared" si="378"/>
        <v>111.19999999999999</v>
      </c>
      <c r="BW100" s="125">
        <f t="shared" si="378"/>
        <v>87.69299999999998</v>
      </c>
      <c r="BX100" s="123">
        <f t="shared" si="378"/>
        <v>78.61999999999999</v>
      </c>
      <c r="BY100" s="124">
        <f t="shared" si="378"/>
        <v>83.99414999999999</v>
      </c>
      <c r="BZ100" s="124">
        <f t="shared" si="378"/>
        <v>72.18585000000002</v>
      </c>
      <c r="CA100" s="124">
        <f t="shared" si="378"/>
        <v>69.29999999999998</v>
      </c>
      <c r="CB100" s="123">
        <f t="shared" si="378"/>
        <v>52</v>
      </c>
      <c r="CC100" s="124">
        <f t="shared" si="378"/>
        <v>69.842</v>
      </c>
      <c r="CD100" s="124">
        <f t="shared" si="378"/>
        <v>64.77440000000001</v>
      </c>
      <c r="CE100" s="124">
        <f t="shared" si="378"/>
        <v>65.87911499999998</v>
      </c>
      <c r="CF100" s="123">
        <f t="shared" si="378"/>
        <v>86.21545</v>
      </c>
      <c r="CG100" s="124">
        <f t="shared" si="378"/>
        <v>100.68031000000002</v>
      </c>
      <c r="CH100" s="124">
        <f t="shared" si="378"/>
        <v>96.90423999999997</v>
      </c>
      <c r="CI100" s="124">
        <f t="shared" si="378"/>
        <v>99.10000000000002</v>
      </c>
      <c r="CJ100" s="123">
        <f t="shared" si="378"/>
        <v>94.18588</v>
      </c>
      <c r="CK100" s="124">
        <f t="shared" si="378"/>
        <v>90.58385999999986</v>
      </c>
      <c r="CL100" s="124">
        <f t="shared" si="378"/>
        <v>98.03171000000015</v>
      </c>
      <c r="CM100" s="407">
        <f t="shared" si="378"/>
        <v>121.72304999999605</v>
      </c>
      <c r="CN100" s="123">
        <f t="shared" si="378"/>
        <v>110.41359</v>
      </c>
      <c r="CO100" s="124">
        <f t="shared" si="378"/>
        <v>90.79315</v>
      </c>
      <c r="CP100" s="124">
        <f t="shared" si="378"/>
        <v>118.75208999999998</v>
      </c>
      <c r="CQ100" s="124">
        <f t="shared" si="378"/>
        <v>129.32786000000004</v>
      </c>
      <c r="CR100" s="473">
        <f t="shared" si="378"/>
        <v>126.2949</v>
      </c>
      <c r="CS100" s="124">
        <f t="shared" si="378"/>
        <v>137.13975</v>
      </c>
      <c r="CT100" s="124">
        <f t="shared" si="378"/>
        <v>116.54097300000002</v>
      </c>
      <c r="CU100" s="124">
        <f t="shared" si="378"/>
        <v>134.05246</v>
      </c>
      <c r="CV100" s="123">
        <f aca="true" t="shared" si="379" ref="CV100:CX101">CV159+CV198</f>
        <v>118.910524</v>
      </c>
      <c r="CW100" s="124">
        <f t="shared" si="379"/>
        <v>125.09493000000002</v>
      </c>
      <c r="CX100" s="124">
        <f t="shared" si="379"/>
        <v>112.84580000000001</v>
      </c>
      <c r="CY100" s="124">
        <f aca="true" t="shared" si="380" ref="CY100:DA101">CY159+CY198</f>
        <v>116.38485000000003</v>
      </c>
      <c r="CZ100" s="123">
        <f t="shared" si="380"/>
        <v>105.84203</v>
      </c>
      <c r="DA100" s="124">
        <f t="shared" si="380"/>
        <v>111.509355</v>
      </c>
      <c r="DB100" s="124">
        <f aca="true" t="shared" si="381" ref="DB100:DE101">DB159+DB198</f>
        <v>124.19834999999995</v>
      </c>
      <c r="DC100" s="124">
        <f t="shared" si="381"/>
        <v>124.79036000000002</v>
      </c>
      <c r="DD100" s="123">
        <f t="shared" si="381"/>
        <v>113.08299000000001</v>
      </c>
      <c r="DE100" s="124">
        <f t="shared" si="381"/>
        <v>130.01045999999997</v>
      </c>
      <c r="DF100" s="124">
        <f aca="true" t="shared" si="382" ref="DF100:DI101">DF159+DF198</f>
        <v>130.39268000000007</v>
      </c>
      <c r="DG100" s="124">
        <f t="shared" si="382"/>
        <v>141.94485599999996</v>
      </c>
      <c r="DH100" s="123">
        <f t="shared" si="382"/>
        <v>110.75742999999999</v>
      </c>
      <c r="DI100" s="124">
        <f t="shared" si="382"/>
        <v>125.74860000000001</v>
      </c>
      <c r="DJ100" s="124">
        <f aca="true" t="shared" si="383" ref="DJ100:DM101">DJ159+DJ198</f>
        <v>116.72591</v>
      </c>
      <c r="DK100" s="124">
        <f t="shared" si="383"/>
        <v>129.28984</v>
      </c>
      <c r="DL100" s="123">
        <f t="shared" si="383"/>
        <v>110.25996</v>
      </c>
      <c r="DM100" s="124">
        <f t="shared" si="383"/>
        <v>133.73981999999998</v>
      </c>
      <c r="DN100" s="124">
        <f aca="true" t="shared" si="384" ref="DN100:DQ101">DN159+DN198</f>
        <v>135.98462</v>
      </c>
      <c r="DO100" s="124">
        <f t="shared" si="384"/>
        <v>124.27710999999996</v>
      </c>
      <c r="DP100" s="123">
        <f t="shared" si="384"/>
        <v>105.95545</v>
      </c>
      <c r="DQ100" s="124">
        <f t="shared" si="384"/>
        <v>127.94138000000001</v>
      </c>
      <c r="DR100" s="124">
        <f>DR159+DR198</f>
        <v>135.14703</v>
      </c>
      <c r="DS100" s="124">
        <f>DS159+DS198</f>
        <v>113.68249</v>
      </c>
      <c r="DT100" s="91"/>
      <c r="DU100" s="109">
        <v>52</v>
      </c>
      <c r="DV100" s="109">
        <v>69.9</v>
      </c>
      <c r="DW100" s="109">
        <v>64.69999999999999</v>
      </c>
      <c r="DX100" s="340">
        <v>66</v>
      </c>
      <c r="DY100" s="341">
        <v>86.21545</v>
      </c>
      <c r="DZ100" s="109">
        <f>FQ100-DY100</f>
        <v>100.68030999999979</v>
      </c>
      <c r="EA100" s="109">
        <f t="shared" si="355"/>
        <v>96.93801999999963</v>
      </c>
      <c r="EB100" s="340">
        <f t="shared" si="355"/>
        <v>99.16622000000058</v>
      </c>
      <c r="EC100" s="341">
        <v>94.18588000000011</v>
      </c>
      <c r="ED100" s="109">
        <f>FT100-EC100</f>
        <v>90.58385999999973</v>
      </c>
      <c r="EE100" s="109">
        <f>FU100-EC100-ED100</f>
        <v>97.98238999999973</v>
      </c>
      <c r="EF100" s="109">
        <f>FV100-EE100-ED100-EC100</f>
        <v>121.79315999999756</v>
      </c>
      <c r="EG100" s="341">
        <v>110.41359000000014</v>
      </c>
      <c r="EH100" s="109">
        <f>FW100-EG100</f>
        <v>90.79314999999994</v>
      </c>
      <c r="EI100" s="109">
        <f>FX100-EH100-EG100</f>
        <v>119.45344</v>
      </c>
      <c r="EJ100" s="109">
        <f>FY100-EI100-EH100-EG100</f>
        <v>129.62650999999994</v>
      </c>
      <c r="EK100" s="420">
        <v>123.95035</v>
      </c>
      <c r="EL100" s="109">
        <f>FZ100-EK100</f>
        <v>134.31455</v>
      </c>
      <c r="EM100" s="109">
        <f>GA100-EL100-EK100</f>
        <v>110.27478300000003</v>
      </c>
      <c r="EN100" s="109">
        <f>GB100-EM100-EL100-EK100</f>
        <v>124.70551000000002</v>
      </c>
      <c r="EO100" s="341">
        <v>108.69132400000001</v>
      </c>
      <c r="EP100" s="109">
        <f>GC100-EO100</f>
        <v>122.05922999999999</v>
      </c>
      <c r="EQ100" s="109">
        <f t="shared" si="356"/>
        <v>111.07410000000002</v>
      </c>
      <c r="ER100" s="109">
        <f t="shared" si="356"/>
        <v>113.69614999999999</v>
      </c>
      <c r="ES100" s="420">
        <v>103.430625</v>
      </c>
      <c r="ET100" s="109">
        <f>GF100-ES100</f>
        <v>111.43881000000003</v>
      </c>
      <c r="EU100" s="109">
        <f>GG100-ET100-ES100</f>
        <v>123.83404999999995</v>
      </c>
      <c r="EV100" s="109">
        <f>GH100-GG100</f>
        <v>120.78226000000006</v>
      </c>
      <c r="EW100" s="341">
        <v>119.12897</v>
      </c>
      <c r="EX100" s="109">
        <f>GI100-EW100</f>
        <v>123.74788000000002</v>
      </c>
      <c r="EY100" s="109">
        <f>GJ100-EX100-EW100</f>
        <v>130.35267999999996</v>
      </c>
      <c r="EZ100" s="109">
        <f>GK100-GJ100</f>
        <v>141.5521</v>
      </c>
      <c r="FA100" s="341">
        <v>110.12774999999999</v>
      </c>
      <c r="FB100" s="109">
        <f>GL100-FA100</f>
        <v>123.91264999999996</v>
      </c>
      <c r="FC100" s="109">
        <f t="shared" si="357"/>
        <v>116.68625</v>
      </c>
      <c r="FD100" s="109">
        <f t="shared" si="357"/>
        <v>129.22990000000004</v>
      </c>
      <c r="FE100" s="341">
        <v>110.16013000000001</v>
      </c>
      <c r="FF100" s="109">
        <f>GO100-FE100</f>
        <v>133.73981999999995</v>
      </c>
      <c r="FG100" s="109">
        <f t="shared" si="358"/>
        <v>135.98462000000004</v>
      </c>
      <c r="FH100" s="109">
        <f t="shared" si="358"/>
        <v>124.27711000000005</v>
      </c>
      <c r="FI100" s="341">
        <v>105.95545</v>
      </c>
      <c r="FJ100" s="109">
        <f>GR100-FI100</f>
        <v>127.94138000000002</v>
      </c>
      <c r="FK100" s="109">
        <f>GS100-GR100</f>
        <v>132.12281000000002</v>
      </c>
      <c r="FL100" s="109">
        <f>GT100-GS100</f>
        <v>111.87762999999995</v>
      </c>
      <c r="FM100" s="63"/>
      <c r="FN100" s="110">
        <f aca="true" t="shared" si="385" ref="FN100:FW100">FN47</f>
        <v>121.9</v>
      </c>
      <c r="FO100" s="110">
        <f t="shared" si="385"/>
        <v>186.6</v>
      </c>
      <c r="FP100" s="110">
        <f t="shared" si="385"/>
        <v>252.5</v>
      </c>
      <c r="FQ100" s="110">
        <f t="shared" si="385"/>
        <v>186.8957599999998</v>
      </c>
      <c r="FR100" s="110">
        <f t="shared" si="385"/>
        <v>283.8337799999994</v>
      </c>
      <c r="FS100" s="110">
        <f t="shared" si="385"/>
        <v>383</v>
      </c>
      <c r="FT100" s="110">
        <f t="shared" si="385"/>
        <v>184.76973999999984</v>
      </c>
      <c r="FU100" s="110">
        <f t="shared" si="385"/>
        <v>282.75212999999957</v>
      </c>
      <c r="FV100" s="110">
        <f t="shared" si="385"/>
        <v>404.5452899999971</v>
      </c>
      <c r="FW100" s="110">
        <f t="shared" si="385"/>
        <v>201.20674000000008</v>
      </c>
      <c r="FX100" s="110">
        <v>320.6601800000001</v>
      </c>
      <c r="FY100" s="110">
        <v>450.28669</v>
      </c>
      <c r="FZ100" s="110">
        <v>258.2649</v>
      </c>
      <c r="GA100" s="110">
        <v>368.539683</v>
      </c>
      <c r="GB100" s="110">
        <v>493.24519300000003</v>
      </c>
      <c r="GC100" s="110">
        <v>230.750554</v>
      </c>
      <c r="GD100" s="110">
        <v>341.824654</v>
      </c>
      <c r="GE100" s="110">
        <v>455.520804</v>
      </c>
      <c r="GF100" s="110">
        <v>214.86943500000004</v>
      </c>
      <c r="GG100" s="110">
        <v>338.703485</v>
      </c>
      <c r="GH100" s="110">
        <v>459.48574500000007</v>
      </c>
      <c r="GI100" s="110">
        <v>242.87685000000002</v>
      </c>
      <c r="GJ100" s="110">
        <v>373.22952999999995</v>
      </c>
      <c r="GK100" s="110">
        <v>514.78163</v>
      </c>
      <c r="GL100" s="110">
        <v>234.04039999999995</v>
      </c>
      <c r="GM100" s="110">
        <v>350.72664999999995</v>
      </c>
      <c r="GN100" s="110">
        <v>479.95655</v>
      </c>
      <c r="GO100" s="110">
        <v>243.89994999999996</v>
      </c>
      <c r="GP100" s="110">
        <v>379.88457</v>
      </c>
      <c r="GQ100" s="110">
        <v>504.16168000000005</v>
      </c>
      <c r="GR100" s="110">
        <v>233.89683000000002</v>
      </c>
      <c r="GS100" s="110">
        <v>366.01964000000004</v>
      </c>
      <c r="GT100" s="110">
        <v>477.89727</v>
      </c>
    </row>
    <row r="101" spans="1:202" ht="15.75">
      <c r="A101" s="116" t="s">
        <v>84</v>
      </c>
      <c r="B101" s="117" t="s">
        <v>85</v>
      </c>
      <c r="C101" s="252">
        <f aca="true" t="shared" si="386" ref="C101:AL101">C160+C199</f>
        <v>7.123106</v>
      </c>
      <c r="D101" s="252">
        <f t="shared" si="386"/>
        <v>10.970894000000001</v>
      </c>
      <c r="E101" s="252">
        <f t="shared" si="386"/>
        <v>12.848150999999998</v>
      </c>
      <c r="F101" s="260">
        <f t="shared" si="386"/>
        <v>10.308818000000002</v>
      </c>
      <c r="G101" s="259">
        <f t="shared" si="386"/>
        <v>8.1</v>
      </c>
      <c r="H101" s="252">
        <f t="shared" si="386"/>
        <v>14.151225000000002</v>
      </c>
      <c r="I101" s="252">
        <f t="shared" si="386"/>
        <v>12.148775</v>
      </c>
      <c r="J101" s="260">
        <f t="shared" si="386"/>
        <v>12.136876999999998</v>
      </c>
      <c r="K101" s="259">
        <f t="shared" si="386"/>
        <v>10.2</v>
      </c>
      <c r="L101" s="252">
        <f t="shared" si="386"/>
        <v>16.757959</v>
      </c>
      <c r="M101" s="252">
        <f t="shared" si="386"/>
        <v>14.87979</v>
      </c>
      <c r="N101" s="260">
        <f t="shared" si="386"/>
        <v>13.908877000000004</v>
      </c>
      <c r="O101" s="259">
        <f t="shared" si="386"/>
        <v>12.436399</v>
      </c>
      <c r="P101" s="252">
        <f t="shared" si="386"/>
        <v>17.686351000000002</v>
      </c>
      <c r="Q101" s="252">
        <f t="shared" si="386"/>
        <v>11.477250000000002</v>
      </c>
      <c r="R101" s="252">
        <f t="shared" si="386"/>
        <v>14.079869999999996</v>
      </c>
      <c r="S101" s="259">
        <f t="shared" si="386"/>
        <v>11.4</v>
      </c>
      <c r="T101" s="252">
        <f t="shared" si="386"/>
        <v>16.863999999999997</v>
      </c>
      <c r="U101" s="252">
        <f t="shared" si="386"/>
        <v>15.155967000000002</v>
      </c>
      <c r="V101" s="252">
        <f t="shared" si="386"/>
        <v>12.420432999999997</v>
      </c>
      <c r="W101" s="259">
        <f t="shared" si="386"/>
        <v>10.732662999999999</v>
      </c>
      <c r="X101" s="252">
        <f t="shared" si="386"/>
        <v>16.532327</v>
      </c>
      <c r="Y101" s="252">
        <f t="shared" si="386"/>
        <v>12.935009999999998</v>
      </c>
      <c r="Z101" s="252">
        <f t="shared" si="386"/>
        <v>12.399999999999999</v>
      </c>
      <c r="AA101" s="259">
        <f t="shared" si="386"/>
        <v>11.006748</v>
      </c>
      <c r="AB101" s="252">
        <f t="shared" si="386"/>
        <v>15.917992</v>
      </c>
      <c r="AC101" s="252">
        <f t="shared" si="386"/>
        <v>16.015027999999997</v>
      </c>
      <c r="AD101" s="252">
        <f t="shared" si="386"/>
        <v>13.654502999999998</v>
      </c>
      <c r="AE101" s="259">
        <f t="shared" si="386"/>
        <v>11.513174</v>
      </c>
      <c r="AF101" s="252">
        <f t="shared" si="386"/>
        <v>14.956795</v>
      </c>
      <c r="AG101" s="252">
        <f t="shared" si="386"/>
        <v>15.372920999999998</v>
      </c>
      <c r="AH101" s="267">
        <f t="shared" si="386"/>
        <v>12.355546000000004</v>
      </c>
      <c r="AI101" s="275">
        <f t="shared" si="386"/>
        <v>11.023055</v>
      </c>
      <c r="AJ101" s="252">
        <f t="shared" si="386"/>
        <v>16.076945</v>
      </c>
      <c r="AK101" s="252">
        <f t="shared" si="386"/>
        <v>15.256721000000002</v>
      </c>
      <c r="AL101" s="252">
        <f t="shared" si="386"/>
        <v>13.246770999999999</v>
      </c>
      <c r="AM101" s="275">
        <f t="shared" si="371"/>
        <v>10.47964</v>
      </c>
      <c r="AN101" s="252">
        <f t="shared" si="371"/>
        <v>15.677144000000002</v>
      </c>
      <c r="AO101" s="252">
        <f t="shared" si="371"/>
        <v>15.170972999999996</v>
      </c>
      <c r="AP101" s="252">
        <f t="shared" si="372"/>
        <v>13.516614</v>
      </c>
      <c r="AQ101" s="259">
        <f t="shared" si="372"/>
        <v>10.493497999999999</v>
      </c>
      <c r="AR101" s="252">
        <f t="shared" si="372"/>
        <v>14.585631</v>
      </c>
      <c r="AS101" s="252">
        <f t="shared" si="373"/>
        <v>15.477699999999999</v>
      </c>
      <c r="AT101" s="252">
        <f t="shared" si="373"/>
        <v>7.115594000000005</v>
      </c>
      <c r="AU101" s="275">
        <f t="shared" si="373"/>
        <v>11.729335760000001</v>
      </c>
      <c r="AV101" s="252">
        <f t="shared" si="374"/>
        <v>12.690578380000002</v>
      </c>
      <c r="AW101" s="252">
        <f t="shared" si="374"/>
        <v>16.624258599999994</v>
      </c>
      <c r="AX101" s="267">
        <f t="shared" si="374"/>
        <v>14.419374629999997</v>
      </c>
      <c r="AY101" s="259">
        <f t="shared" si="375"/>
        <v>11.6366216186592</v>
      </c>
      <c r="AZ101" s="252">
        <f t="shared" si="375"/>
        <v>16.08691451</v>
      </c>
      <c r="BA101" s="252">
        <f t="shared" si="375"/>
        <v>16.4418414029888</v>
      </c>
      <c r="BB101" s="252">
        <f t="shared" si="376"/>
        <v>13.0413645475296</v>
      </c>
      <c r="BC101" s="259">
        <f t="shared" si="376"/>
        <v>11.6621698417216</v>
      </c>
      <c r="BD101" s="252">
        <f t="shared" si="376"/>
        <v>15.106758865311999</v>
      </c>
      <c r="BE101" s="252">
        <f t="shared" si="377"/>
        <v>16.585049185808003</v>
      </c>
      <c r="BF101" s="252">
        <f t="shared" si="377"/>
        <v>11.524635243833597</v>
      </c>
      <c r="BG101" s="259">
        <f t="shared" si="377"/>
        <v>12.253373898659198</v>
      </c>
      <c r="BH101" s="252">
        <f t="shared" si="377"/>
        <v>15.571191940000002</v>
      </c>
      <c r="BI101" s="252">
        <f>BI160+BI199</f>
        <v>16.54978237</v>
      </c>
      <c r="BJ101" s="252">
        <f>BJ160+BJ199</f>
        <v>14.4400173107392</v>
      </c>
      <c r="BK101" s="619"/>
      <c r="BL101" s="121">
        <f aca="true" t="shared" si="387" ref="BL101:CU101">BL160+BL199</f>
        <v>7.415732</v>
      </c>
      <c r="BM101" s="121">
        <f t="shared" si="387"/>
        <v>10.875720999999999</v>
      </c>
      <c r="BN101" s="121">
        <f t="shared" si="387"/>
        <v>12.72439</v>
      </c>
      <c r="BO101" s="122">
        <f t="shared" si="387"/>
        <v>10.253622000000002</v>
      </c>
      <c r="BP101" s="123">
        <f t="shared" si="387"/>
        <v>8.399999999999999</v>
      </c>
      <c r="BQ101" s="124">
        <f t="shared" si="387"/>
        <v>14.210968000000001</v>
      </c>
      <c r="BR101" s="124">
        <f t="shared" si="387"/>
        <v>12.089032</v>
      </c>
      <c r="BS101" s="125">
        <f t="shared" si="387"/>
        <v>11.900000000000002</v>
      </c>
      <c r="BT101" s="123">
        <f t="shared" si="387"/>
        <v>10.6</v>
      </c>
      <c r="BU101" s="124">
        <f t="shared" si="387"/>
        <v>16.7</v>
      </c>
      <c r="BV101" s="124">
        <f t="shared" si="387"/>
        <v>14.900000000000002</v>
      </c>
      <c r="BW101" s="125">
        <f t="shared" si="387"/>
        <v>13.772999999999994</v>
      </c>
      <c r="BX101" s="123">
        <f t="shared" si="387"/>
        <v>12.4</v>
      </c>
      <c r="BY101" s="124">
        <f t="shared" si="387"/>
        <v>17.342501999999996</v>
      </c>
      <c r="BZ101" s="124">
        <f t="shared" si="387"/>
        <v>11.857498000000001</v>
      </c>
      <c r="CA101" s="124">
        <f t="shared" si="387"/>
        <v>14.183569999999998</v>
      </c>
      <c r="CB101" s="123">
        <f t="shared" si="387"/>
        <v>11.5</v>
      </c>
      <c r="CC101" s="124">
        <f t="shared" si="387"/>
        <v>17</v>
      </c>
      <c r="CD101" s="124">
        <f t="shared" si="387"/>
        <v>14.813853</v>
      </c>
      <c r="CE101" s="124">
        <f t="shared" si="387"/>
        <v>12.318161999999994</v>
      </c>
      <c r="CF101" s="123">
        <f t="shared" si="387"/>
        <v>10.906874</v>
      </c>
      <c r="CG101" s="124">
        <f t="shared" si="387"/>
        <v>16.495135</v>
      </c>
      <c r="CH101" s="124">
        <f t="shared" si="387"/>
        <v>13.197991</v>
      </c>
      <c r="CI101" s="124">
        <f t="shared" si="387"/>
        <v>11.999999999999998</v>
      </c>
      <c r="CJ101" s="123">
        <f t="shared" si="387"/>
        <v>11.252762</v>
      </c>
      <c r="CK101" s="124">
        <f t="shared" si="387"/>
        <v>16.095588000000035</v>
      </c>
      <c r="CL101" s="124">
        <f t="shared" si="387"/>
        <v>15.70513799999996</v>
      </c>
      <c r="CM101" s="407">
        <f t="shared" si="387"/>
        <v>13.689257999999985</v>
      </c>
      <c r="CN101" s="123">
        <f t="shared" si="387"/>
        <v>11.461332</v>
      </c>
      <c r="CO101" s="124">
        <f t="shared" si="387"/>
        <v>15.060530000000004</v>
      </c>
      <c r="CP101" s="124">
        <f t="shared" si="387"/>
        <v>15.034242999999996</v>
      </c>
      <c r="CQ101" s="124">
        <f t="shared" si="387"/>
        <v>12.223262</v>
      </c>
      <c r="CR101" s="473">
        <f t="shared" si="387"/>
        <v>11.188614000000001</v>
      </c>
      <c r="CS101" s="124">
        <f t="shared" si="387"/>
        <v>15.870363999999999</v>
      </c>
      <c r="CT101" s="124">
        <f t="shared" si="387"/>
        <v>15.591928</v>
      </c>
      <c r="CU101" s="124">
        <f t="shared" si="387"/>
        <v>12.813148000000002</v>
      </c>
      <c r="CV101" s="123">
        <f t="shared" si="379"/>
        <v>10.712060000000001</v>
      </c>
      <c r="CW101" s="124">
        <f t="shared" si="379"/>
        <v>15.867299999999998</v>
      </c>
      <c r="CX101" s="124">
        <f t="shared" si="379"/>
        <v>14.85062</v>
      </c>
      <c r="CY101" s="124">
        <f t="shared" si="380"/>
        <v>13.313224000000002</v>
      </c>
      <c r="CZ101" s="123">
        <f t="shared" si="380"/>
        <v>10.85753</v>
      </c>
      <c r="DA101" s="124">
        <f t="shared" si="380"/>
        <v>14.503794000000003</v>
      </c>
      <c r="DB101" s="124">
        <f t="shared" si="381"/>
        <v>15.217265999999995</v>
      </c>
      <c r="DC101" s="124">
        <f t="shared" si="381"/>
        <v>7.289264</v>
      </c>
      <c r="DD101" s="123">
        <f t="shared" si="381"/>
        <v>11.72192</v>
      </c>
      <c r="DE101" s="124">
        <f t="shared" si="381"/>
        <v>12.79165</v>
      </c>
      <c r="DF101" s="124">
        <f t="shared" si="382"/>
        <v>16.50868</v>
      </c>
      <c r="DG101" s="124">
        <f t="shared" si="382"/>
        <v>14.169209999999996</v>
      </c>
      <c r="DH101" s="123">
        <f t="shared" si="382"/>
        <v>11.859902</v>
      </c>
      <c r="DI101" s="124">
        <f t="shared" si="382"/>
        <v>16.157007</v>
      </c>
      <c r="DJ101" s="124">
        <f t="shared" si="383"/>
        <v>16.051664</v>
      </c>
      <c r="DK101" s="124">
        <f t="shared" si="383"/>
        <v>13.123847000000005</v>
      </c>
      <c r="DL101" s="123">
        <f t="shared" si="383"/>
        <v>11.945745</v>
      </c>
      <c r="DM101" s="124">
        <f t="shared" si="383"/>
        <v>15.154101999999998</v>
      </c>
      <c r="DN101" s="124">
        <f t="shared" si="384"/>
        <v>16.603239000000002</v>
      </c>
      <c r="DO101" s="124">
        <f t="shared" si="384"/>
        <v>11.18716200000001</v>
      </c>
      <c r="DP101" s="123">
        <f t="shared" si="384"/>
        <v>12.499827</v>
      </c>
      <c r="DQ101" s="124">
        <f t="shared" si="384"/>
        <v>15.593067</v>
      </c>
      <c r="DR101" s="124">
        <f>DR160+DR199</f>
        <v>16.534261</v>
      </c>
      <c r="DS101" s="124">
        <f>DS160+DS199</f>
        <v>14.009436000000004</v>
      </c>
      <c r="DT101" s="91"/>
      <c r="DU101" s="109">
        <v>11.6</v>
      </c>
      <c r="DV101" s="109">
        <v>16.9</v>
      </c>
      <c r="DW101" s="109">
        <v>14.799999999999997</v>
      </c>
      <c r="DX101" s="340">
        <v>12.300000000000004</v>
      </c>
      <c r="DY101" s="341">
        <v>10.906030000000001</v>
      </c>
      <c r="DZ101" s="109">
        <f>FQ101-DY101</f>
        <v>16.494249</v>
      </c>
      <c r="EA101" s="109">
        <f t="shared" si="355"/>
        <v>13.139152999999997</v>
      </c>
      <c r="EB101" s="340">
        <f t="shared" si="355"/>
        <v>11.760568</v>
      </c>
      <c r="EC101" s="341">
        <v>11.252038</v>
      </c>
      <c r="ED101" s="109">
        <f>FT101-EC101</f>
        <v>16.094276000000036</v>
      </c>
      <c r="EE101" s="109">
        <f>FU101-EC101-ED101</f>
        <v>15.679934000000024</v>
      </c>
      <c r="EF101" s="109">
        <f>FV101-EE101-ED101-EC101</f>
        <v>13.697013999999987</v>
      </c>
      <c r="EG101" s="341">
        <v>11.460904</v>
      </c>
      <c r="EH101" s="109">
        <f>FW101-EG101</f>
        <v>15.060933999999992</v>
      </c>
      <c r="EI101" s="109">
        <f>FX101-EH101-EG101</f>
        <v>15.056592000000006</v>
      </c>
      <c r="EJ101" s="109">
        <f>FY101-EI101-EH101-EG101</f>
        <v>12.25032700000001</v>
      </c>
      <c r="EK101" s="420">
        <v>11.18859</v>
      </c>
      <c r="EL101" s="109">
        <f>FZ101-EK101</f>
        <v>15.870364</v>
      </c>
      <c r="EM101" s="109">
        <f>GA101-EL101-EK101</f>
        <v>15.591088000000004</v>
      </c>
      <c r="EN101" s="109">
        <f>GB101-EM101-EL101-EK101</f>
        <v>12.81280999999999</v>
      </c>
      <c r="EO101" s="341">
        <v>10.71206</v>
      </c>
      <c r="EP101" s="109">
        <f>GC101-EO101</f>
        <v>15.867300000000002</v>
      </c>
      <c r="EQ101" s="109">
        <f t="shared" si="356"/>
        <v>14.8506</v>
      </c>
      <c r="ER101" s="109">
        <f t="shared" si="356"/>
        <v>13.313219999999994</v>
      </c>
      <c r="ES101" s="420">
        <v>10.85753</v>
      </c>
      <c r="ET101" s="109">
        <f>GF101-ES101</f>
        <v>14.503877999999997</v>
      </c>
      <c r="EU101" s="109">
        <f>GG101-ET101-ES101</f>
        <v>15.217162000000002</v>
      </c>
      <c r="EV101" s="109">
        <f>GH101-GG101</f>
        <v>7.19032</v>
      </c>
      <c r="EW101" s="341">
        <v>11.72192</v>
      </c>
      <c r="EX101" s="109">
        <f>GI101-EW101</f>
        <v>12.79165</v>
      </c>
      <c r="EY101" s="109">
        <f>GJ101-EX101-EW101</f>
        <v>16.50868</v>
      </c>
      <c r="EZ101" s="109">
        <f>GK101-GJ101</f>
        <v>14.16921</v>
      </c>
      <c r="FA101" s="341">
        <v>11.859902</v>
      </c>
      <c r="FB101" s="109">
        <f>GL101-FA101</f>
        <v>16.157007</v>
      </c>
      <c r="FC101" s="109">
        <f t="shared" si="357"/>
        <v>16.051663999999995</v>
      </c>
      <c r="FD101" s="109">
        <f t="shared" si="357"/>
        <v>13.123847000000005</v>
      </c>
      <c r="FE101" s="341">
        <v>11.945744999999999</v>
      </c>
      <c r="FF101" s="109">
        <f>GO101-FE101</f>
        <v>15.154102000000005</v>
      </c>
      <c r="FG101" s="109">
        <f t="shared" si="358"/>
        <v>16.603238999999995</v>
      </c>
      <c r="FH101" s="109">
        <f t="shared" si="358"/>
        <v>11.187162</v>
      </c>
      <c r="FI101" s="341">
        <v>12.499827</v>
      </c>
      <c r="FJ101" s="109">
        <f>GR101-FI101</f>
        <v>15.593067000000001</v>
      </c>
      <c r="FK101" s="109">
        <f>GS101-GR101</f>
        <v>16.534261</v>
      </c>
      <c r="FL101" s="109">
        <f>GT101-GS101</f>
        <v>14.009436</v>
      </c>
      <c r="FM101" s="63"/>
      <c r="FN101" s="110">
        <f aca="true" t="shared" si="388" ref="FN101:FW101">FN48</f>
        <v>28.5</v>
      </c>
      <c r="FO101" s="110">
        <f t="shared" si="388"/>
        <v>43.3</v>
      </c>
      <c r="FP101" s="110">
        <f t="shared" si="388"/>
        <v>55.6</v>
      </c>
      <c r="FQ101" s="110">
        <f t="shared" si="388"/>
        <v>27.400279</v>
      </c>
      <c r="FR101" s="110">
        <f t="shared" si="388"/>
        <v>40.539432</v>
      </c>
      <c r="FS101" s="110">
        <f t="shared" si="388"/>
        <v>52.3</v>
      </c>
      <c r="FT101" s="110">
        <f t="shared" si="388"/>
        <v>27.34631400000004</v>
      </c>
      <c r="FU101" s="110">
        <f t="shared" si="388"/>
        <v>43.02624800000006</v>
      </c>
      <c r="FV101" s="110">
        <f t="shared" si="388"/>
        <v>56.72326200000005</v>
      </c>
      <c r="FW101" s="110">
        <f t="shared" si="388"/>
        <v>26.521837999999992</v>
      </c>
      <c r="FX101" s="110">
        <v>41.57843</v>
      </c>
      <c r="FY101" s="110">
        <v>53.828757</v>
      </c>
      <c r="FZ101" s="110">
        <v>27.058954</v>
      </c>
      <c r="GA101" s="110">
        <v>42.650042000000006</v>
      </c>
      <c r="GB101" s="110">
        <v>55.462852</v>
      </c>
      <c r="GC101" s="110">
        <v>26.57936</v>
      </c>
      <c r="GD101" s="110">
        <v>41.42996</v>
      </c>
      <c r="GE101" s="110">
        <v>54.743179999999995</v>
      </c>
      <c r="GF101" s="110">
        <v>25.361407999999997</v>
      </c>
      <c r="GG101" s="110">
        <v>40.57857</v>
      </c>
      <c r="GH101" s="110">
        <v>47.76889</v>
      </c>
      <c r="GI101" s="110">
        <v>24.51357</v>
      </c>
      <c r="GJ101" s="110">
        <v>41.02225</v>
      </c>
      <c r="GK101" s="110">
        <v>55.19146</v>
      </c>
      <c r="GL101" s="110">
        <v>28.016909</v>
      </c>
      <c r="GM101" s="110">
        <v>44.068572999999994</v>
      </c>
      <c r="GN101" s="110">
        <v>57.19242</v>
      </c>
      <c r="GO101" s="110">
        <v>27.099847000000004</v>
      </c>
      <c r="GP101" s="110">
        <v>43.703086</v>
      </c>
      <c r="GQ101" s="110">
        <v>54.890248</v>
      </c>
      <c r="GR101" s="110">
        <v>28.092894</v>
      </c>
      <c r="GS101" s="110">
        <v>44.627155</v>
      </c>
      <c r="GT101" s="110">
        <v>58.636591</v>
      </c>
    </row>
    <row r="102" spans="1:202" s="129" customFormat="1" ht="15.75">
      <c r="A102" s="100" t="s">
        <v>104</v>
      </c>
      <c r="B102" s="100" t="s">
        <v>93</v>
      </c>
      <c r="C102" s="257"/>
      <c r="D102" s="257"/>
      <c r="E102" s="257"/>
      <c r="F102" s="258"/>
      <c r="G102" s="256"/>
      <c r="H102" s="257"/>
      <c r="I102" s="257"/>
      <c r="J102" s="258"/>
      <c r="K102" s="256"/>
      <c r="L102" s="257"/>
      <c r="M102" s="257"/>
      <c r="N102" s="258"/>
      <c r="O102" s="256"/>
      <c r="P102" s="257"/>
      <c r="Q102" s="257"/>
      <c r="R102" s="257"/>
      <c r="S102" s="256"/>
      <c r="T102" s="257"/>
      <c r="U102" s="257"/>
      <c r="V102" s="257"/>
      <c r="W102" s="256"/>
      <c r="X102" s="257"/>
      <c r="Y102" s="257"/>
      <c r="Z102" s="257"/>
      <c r="AA102" s="256"/>
      <c r="AB102" s="257"/>
      <c r="AC102" s="257"/>
      <c r="AD102" s="257"/>
      <c r="AE102" s="256">
        <f>AE161</f>
        <v>0.022</v>
      </c>
      <c r="AF102" s="257">
        <f aca="true" t="shared" si="389" ref="AF102:AL102">AF161</f>
        <v>0.0187</v>
      </c>
      <c r="AG102" s="257">
        <f t="shared" si="389"/>
        <v>0.0121</v>
      </c>
      <c r="AH102" s="268">
        <f t="shared" si="389"/>
        <v>0.030700000000000005</v>
      </c>
      <c r="AI102" s="465">
        <f t="shared" si="389"/>
        <v>0.04</v>
      </c>
      <c r="AJ102" s="257">
        <f t="shared" si="389"/>
        <v>0.034499999999999996</v>
      </c>
      <c r="AK102" s="257">
        <f t="shared" si="389"/>
        <v>0.0325</v>
      </c>
      <c r="AL102" s="257">
        <f t="shared" si="389"/>
        <v>0.02559999999999999</v>
      </c>
      <c r="AM102" s="465">
        <f aca="true" t="shared" si="390" ref="AM102:AR102">AM161</f>
        <v>0</v>
      </c>
      <c r="AN102" s="257">
        <f t="shared" si="390"/>
        <v>0.045604</v>
      </c>
      <c r="AO102" s="257">
        <f t="shared" si="390"/>
        <v>0.03552400000000001</v>
      </c>
      <c r="AP102" s="257">
        <f t="shared" si="390"/>
        <v>0.028232</v>
      </c>
      <c r="AQ102" s="256">
        <f t="shared" si="390"/>
        <v>0</v>
      </c>
      <c r="AR102" s="257">
        <f t="shared" si="390"/>
        <v>0.0372</v>
      </c>
      <c r="AS102" s="257">
        <f aca="true" t="shared" si="391" ref="AS102:AU104">AS161</f>
        <v>0.021392</v>
      </c>
      <c r="AT102" s="257">
        <f t="shared" si="391"/>
        <v>0.018048000000000015</v>
      </c>
      <c r="AU102" s="465">
        <f t="shared" si="391"/>
        <v>0</v>
      </c>
      <c r="AV102" s="257">
        <f aca="true" t="shared" si="392" ref="AV102:AW104">AV161</f>
        <v>0.038310140000000006</v>
      </c>
      <c r="AW102" s="257">
        <f t="shared" si="392"/>
        <v>0.0222206</v>
      </c>
      <c r="AX102" s="268">
        <f aca="true" t="shared" si="393" ref="AX102:BA104">AX161</f>
        <v>0.020044629999999987</v>
      </c>
      <c r="AY102" s="256">
        <f t="shared" si="393"/>
        <v>0.0148466149632</v>
      </c>
      <c r="AZ102" s="257">
        <f t="shared" si="393"/>
        <v>0.00242551</v>
      </c>
      <c r="BA102" s="257">
        <f t="shared" si="393"/>
        <v>0.0027494057024</v>
      </c>
      <c r="BB102" s="257">
        <f aca="true" t="shared" si="394" ref="BB102:BD104">BB161</f>
        <v>0.0011265485119999973</v>
      </c>
      <c r="BC102" s="256">
        <f t="shared" si="394"/>
        <v>0.0007938417216</v>
      </c>
      <c r="BD102" s="257">
        <f t="shared" si="394"/>
        <v>0.0014638610879999998</v>
      </c>
      <c r="BE102" s="257">
        <f aca="true" t="shared" si="395" ref="BE102:BH104">BE161</f>
        <v>0.0024491941823999996</v>
      </c>
      <c r="BF102" s="257">
        <f t="shared" si="395"/>
        <v>0.0018672357119999998</v>
      </c>
      <c r="BG102" s="256">
        <f t="shared" si="395"/>
        <v>0.0012448986592</v>
      </c>
      <c r="BH102" s="257">
        <f t="shared" si="395"/>
        <v>0.00327994</v>
      </c>
      <c r="BI102" s="257">
        <f aca="true" t="shared" si="396" ref="BI102:BJ104">BI161</f>
        <v>0.0031013700000000004</v>
      </c>
      <c r="BJ102" s="257">
        <f t="shared" si="396"/>
        <v>0.0011383150368</v>
      </c>
      <c r="BK102" s="619"/>
      <c r="BL102" s="111"/>
      <c r="BM102" s="111"/>
      <c r="BN102" s="111"/>
      <c r="BO102" s="112"/>
      <c r="BP102" s="113"/>
      <c r="BQ102" s="114"/>
      <c r="BR102" s="114"/>
      <c r="BS102" s="115"/>
      <c r="BT102" s="113"/>
      <c r="BU102" s="114"/>
      <c r="BV102" s="114"/>
      <c r="BW102" s="115"/>
      <c r="BX102" s="113"/>
      <c r="BY102" s="114"/>
      <c r="BZ102" s="114"/>
      <c r="CA102" s="114"/>
      <c r="CB102" s="113"/>
      <c r="CC102" s="114"/>
      <c r="CD102" s="114"/>
      <c r="CE102" s="114"/>
      <c r="CF102" s="113"/>
      <c r="CG102" s="114"/>
      <c r="CH102" s="114"/>
      <c r="CI102" s="114"/>
      <c r="CJ102" s="113"/>
      <c r="CK102" s="114"/>
      <c r="CL102" s="114"/>
      <c r="CM102" s="406"/>
      <c r="CN102" s="113"/>
      <c r="CO102" s="114"/>
      <c r="CP102" s="114"/>
      <c r="CQ102" s="114"/>
      <c r="CR102" s="472"/>
      <c r="CS102" s="114"/>
      <c r="CT102" s="114"/>
      <c r="CU102" s="114"/>
      <c r="CV102" s="113"/>
      <c r="CW102" s="114"/>
      <c r="CX102" s="114"/>
      <c r="CY102" s="114"/>
      <c r="CZ102" s="113"/>
      <c r="DA102" s="114"/>
      <c r="DB102" s="114"/>
      <c r="DC102" s="114"/>
      <c r="DD102" s="113"/>
      <c r="DE102" s="114"/>
      <c r="DF102" s="114"/>
      <c r="DG102" s="114"/>
      <c r="DH102" s="113"/>
      <c r="DI102" s="114"/>
      <c r="DJ102" s="114"/>
      <c r="DK102" s="114"/>
      <c r="DL102" s="113"/>
      <c r="DM102" s="114"/>
      <c r="DN102" s="114"/>
      <c r="DO102" s="114"/>
      <c r="DP102" s="113"/>
      <c r="DQ102" s="114"/>
      <c r="DR102" s="114"/>
      <c r="DS102" s="114"/>
      <c r="DT102" s="500"/>
      <c r="DU102" s="126"/>
      <c r="DV102" s="126"/>
      <c r="DW102" s="126"/>
      <c r="DX102" s="342"/>
      <c r="DY102" s="343"/>
      <c r="DZ102" s="126"/>
      <c r="EA102" s="126"/>
      <c r="EB102" s="342"/>
      <c r="EC102" s="343"/>
      <c r="ED102" s="126"/>
      <c r="EE102" s="126"/>
      <c r="EF102" s="126"/>
      <c r="EG102" s="343"/>
      <c r="EH102" s="126"/>
      <c r="EI102" s="126"/>
      <c r="EJ102" s="126"/>
      <c r="EK102" s="490"/>
      <c r="EL102" s="126"/>
      <c r="EM102" s="126"/>
      <c r="EN102" s="126"/>
      <c r="EO102" s="343"/>
      <c r="EP102" s="126"/>
      <c r="EQ102" s="126"/>
      <c r="ER102" s="126"/>
      <c r="ES102" s="490"/>
      <c r="ET102" s="126"/>
      <c r="EU102" s="126"/>
      <c r="EV102" s="126"/>
      <c r="EW102" s="343"/>
      <c r="EX102" s="126"/>
      <c r="EY102" s="126"/>
      <c r="EZ102" s="126"/>
      <c r="FA102" s="343"/>
      <c r="FB102" s="126"/>
      <c r="FC102" s="126"/>
      <c r="FD102" s="126"/>
      <c r="FE102" s="343"/>
      <c r="FF102" s="126"/>
      <c r="FG102" s="126"/>
      <c r="FH102" s="126"/>
      <c r="FI102" s="343"/>
      <c r="FJ102" s="126"/>
      <c r="FK102" s="126"/>
      <c r="FL102" s="126"/>
      <c r="FM102" s="127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</row>
    <row r="103" spans="1:202" ht="15.75">
      <c r="A103" s="116" t="s">
        <v>86</v>
      </c>
      <c r="B103" s="117" t="s">
        <v>87</v>
      </c>
      <c r="C103" s="252">
        <f>C162</f>
        <v>1.6620001</v>
      </c>
      <c r="D103" s="252">
        <f aca="true" t="shared" si="397" ref="D103:AF103">D162</f>
        <v>1.4129999000000002</v>
      </c>
      <c r="E103" s="252">
        <f t="shared" si="397"/>
        <v>1.4473019000000011</v>
      </c>
      <c r="F103" s="260">
        <f t="shared" si="397"/>
        <v>1.3794600999999984</v>
      </c>
      <c r="G103" s="259">
        <f t="shared" si="397"/>
        <v>1.7</v>
      </c>
      <c r="H103" s="252">
        <f t="shared" si="397"/>
        <v>1.4162500999999998</v>
      </c>
      <c r="I103" s="252">
        <f t="shared" si="397"/>
        <v>1.7837499000000003</v>
      </c>
      <c r="J103" s="260">
        <f t="shared" si="397"/>
        <v>1.7779162</v>
      </c>
      <c r="K103" s="259">
        <f t="shared" si="397"/>
        <v>1.8</v>
      </c>
      <c r="L103" s="252">
        <f t="shared" si="397"/>
        <v>1.7151300999999999</v>
      </c>
      <c r="M103" s="252">
        <f t="shared" si="397"/>
        <v>1.7567342</v>
      </c>
      <c r="N103" s="260">
        <f t="shared" si="397"/>
        <v>1.9578361999999998</v>
      </c>
      <c r="O103" s="259">
        <f t="shared" si="397"/>
        <v>1.9362301</v>
      </c>
      <c r="P103" s="252">
        <f t="shared" si="397"/>
        <v>1.5240539000000002</v>
      </c>
      <c r="Q103" s="252">
        <f t="shared" si="397"/>
        <v>1.8397159999999997</v>
      </c>
      <c r="R103" s="252">
        <f t="shared" si="397"/>
        <v>1.7003441000000006</v>
      </c>
      <c r="S103" s="259">
        <f t="shared" si="397"/>
        <v>1.7</v>
      </c>
      <c r="T103" s="252">
        <f t="shared" si="397"/>
        <v>1.4000000000000001</v>
      </c>
      <c r="U103" s="252">
        <f t="shared" si="397"/>
        <v>1.7231239999999997</v>
      </c>
      <c r="V103" s="252">
        <f t="shared" si="397"/>
        <v>1.7126910999999998</v>
      </c>
      <c r="W103" s="259">
        <f t="shared" si="397"/>
        <v>1.6138019</v>
      </c>
      <c r="X103" s="252">
        <f t="shared" si="397"/>
        <v>1.4442781</v>
      </c>
      <c r="Y103" s="252">
        <f t="shared" si="397"/>
        <v>1.8419200000000004</v>
      </c>
      <c r="Z103" s="252">
        <f t="shared" si="397"/>
        <v>1.6999999999999997</v>
      </c>
      <c r="AA103" s="259">
        <f t="shared" si="397"/>
        <v>1.3478819</v>
      </c>
      <c r="AB103" s="252">
        <f t="shared" si="397"/>
        <v>1.3196280000000002</v>
      </c>
      <c r="AC103" s="252">
        <f t="shared" si="397"/>
        <v>1.4359680999999997</v>
      </c>
      <c r="AD103" s="252">
        <f t="shared" si="397"/>
        <v>1.7423433000000004</v>
      </c>
      <c r="AE103" s="259">
        <f t="shared" si="397"/>
        <v>1.5390124</v>
      </c>
      <c r="AF103" s="252">
        <f t="shared" si="397"/>
        <v>1.3787952</v>
      </c>
      <c r="AG103" s="252">
        <f aca="true" t="shared" si="398" ref="AG103:AI104">AG162</f>
        <v>1.7476296000000004</v>
      </c>
      <c r="AH103" s="267">
        <f t="shared" si="398"/>
        <v>1.657808599999999</v>
      </c>
      <c r="AI103" s="275">
        <f t="shared" si="398"/>
        <v>1.4392921</v>
      </c>
      <c r="AJ103" s="252">
        <f aca="true" t="shared" si="399" ref="AJ103:AM104">AJ162</f>
        <v>1.1607079</v>
      </c>
      <c r="AK103" s="252">
        <f t="shared" si="399"/>
        <v>1.8292301000000004</v>
      </c>
      <c r="AL103" s="252">
        <f t="shared" si="399"/>
        <v>1.8547918000000003</v>
      </c>
      <c r="AM103" s="275">
        <f t="shared" si="399"/>
        <v>1.6636617</v>
      </c>
      <c r="AN103" s="252">
        <f aca="true" t="shared" si="400" ref="AN103:AP104">AN162</f>
        <v>1.7002259999999998</v>
      </c>
      <c r="AO103" s="252">
        <f t="shared" si="400"/>
        <v>1.9711321000000006</v>
      </c>
      <c r="AP103" s="252">
        <f t="shared" si="400"/>
        <v>2.1473040000000005</v>
      </c>
      <c r="AQ103" s="259">
        <f>AQ162</f>
        <v>1.8847078000000002</v>
      </c>
      <c r="AR103" s="252">
        <f>AR162</f>
        <v>1.7116699</v>
      </c>
      <c r="AS103" s="252">
        <f t="shared" si="391"/>
        <v>1.8317137000000003</v>
      </c>
      <c r="AT103" s="252">
        <f t="shared" si="391"/>
        <v>1.7268179999999997</v>
      </c>
      <c r="AU103" s="275">
        <f>AU162</f>
        <v>1.6320838</v>
      </c>
      <c r="AV103" s="252">
        <f t="shared" si="392"/>
        <v>1.8016078</v>
      </c>
      <c r="AW103" s="252">
        <f t="shared" si="392"/>
        <v>1.6470421000000004</v>
      </c>
      <c r="AX103" s="267">
        <f t="shared" si="393"/>
        <v>1.7101974</v>
      </c>
      <c r="AY103" s="259">
        <f t="shared" si="393"/>
        <v>1.52904</v>
      </c>
      <c r="AZ103" s="252">
        <f t="shared" si="393"/>
        <v>1.62045</v>
      </c>
      <c r="BA103" s="252">
        <f t="shared" si="393"/>
        <v>1.7417759</v>
      </c>
      <c r="BB103" s="252">
        <f t="shared" si="394"/>
        <v>1.741776000000001</v>
      </c>
      <c r="BC103" s="259">
        <f t="shared" si="394"/>
        <v>1.4525878</v>
      </c>
      <c r="BD103" s="252">
        <f t="shared" si="394"/>
        <v>1.209936</v>
      </c>
      <c r="BE103" s="252">
        <f t="shared" si="395"/>
        <v>1.8198900000000007</v>
      </c>
      <c r="BF103" s="252">
        <f t="shared" si="395"/>
        <v>1.8514677999999993</v>
      </c>
      <c r="BG103" s="259">
        <f t="shared" si="395"/>
        <v>1.6836060000000002</v>
      </c>
      <c r="BH103" s="252">
        <f t="shared" si="395"/>
        <v>1.5439979</v>
      </c>
      <c r="BI103" s="252">
        <f t="shared" si="396"/>
        <v>1.3960799999999995</v>
      </c>
      <c r="BJ103" s="252">
        <f t="shared" si="396"/>
        <v>1.6985639000000008</v>
      </c>
      <c r="BK103" s="619"/>
      <c r="BL103" s="121">
        <f aca="true" t="shared" si="401" ref="BL103:CN103">BL162</f>
        <v>1.6876481</v>
      </c>
      <c r="BM103" s="121">
        <f t="shared" si="401"/>
        <v>1.4474249000000001</v>
      </c>
      <c r="BN103" s="121">
        <f t="shared" si="401"/>
        <v>1.3445641999999998</v>
      </c>
      <c r="BO103" s="122">
        <f t="shared" si="401"/>
        <v>1.4295593000000002</v>
      </c>
      <c r="BP103" s="123">
        <f t="shared" si="401"/>
        <v>1.8</v>
      </c>
      <c r="BQ103" s="124">
        <f t="shared" si="401"/>
        <v>1.2752860000000001</v>
      </c>
      <c r="BR103" s="124">
        <f t="shared" si="401"/>
        <v>1.9247139999999996</v>
      </c>
      <c r="BS103" s="125">
        <f t="shared" si="401"/>
        <v>1.7000000000000002</v>
      </c>
      <c r="BT103" s="123">
        <f t="shared" si="401"/>
        <v>1.9</v>
      </c>
      <c r="BU103" s="124">
        <f t="shared" si="401"/>
        <v>1.6</v>
      </c>
      <c r="BV103" s="124">
        <f t="shared" si="401"/>
        <v>1.7999999999999998</v>
      </c>
      <c r="BW103" s="125">
        <f t="shared" si="401"/>
        <v>1.9590000000000005</v>
      </c>
      <c r="BX103" s="123">
        <f t="shared" si="401"/>
        <v>1.9</v>
      </c>
      <c r="BY103" s="124">
        <f t="shared" si="401"/>
        <v>1.5523148</v>
      </c>
      <c r="BZ103" s="124">
        <f t="shared" si="401"/>
        <v>1.8476852</v>
      </c>
      <c r="CA103" s="124">
        <f t="shared" si="401"/>
        <v>1.6942961800000003</v>
      </c>
      <c r="CB103" s="123">
        <f t="shared" si="401"/>
        <v>1.6</v>
      </c>
      <c r="CC103" s="124">
        <f t="shared" si="401"/>
        <v>1.5</v>
      </c>
      <c r="CD103" s="124">
        <f t="shared" si="401"/>
        <v>1.71832496</v>
      </c>
      <c r="CE103" s="124">
        <f t="shared" si="401"/>
        <v>1.6260670400000006</v>
      </c>
      <c r="CF103" s="123">
        <f t="shared" si="401"/>
        <v>1.6776091</v>
      </c>
      <c r="CG103" s="124">
        <f t="shared" si="401"/>
        <v>1.4627114000000006</v>
      </c>
      <c r="CH103" s="124">
        <f t="shared" si="401"/>
        <v>1.8596794999999993</v>
      </c>
      <c r="CI103" s="124">
        <f t="shared" si="401"/>
        <v>1.7</v>
      </c>
      <c r="CJ103" s="123">
        <f t="shared" si="401"/>
        <v>1.3359896</v>
      </c>
      <c r="CK103" s="124">
        <f t="shared" si="401"/>
        <v>1.2907206999999996</v>
      </c>
      <c r="CL103" s="124">
        <f t="shared" si="401"/>
        <v>1.4604850000000007</v>
      </c>
      <c r="CM103" s="407">
        <f t="shared" si="401"/>
        <v>1.669677099999999</v>
      </c>
      <c r="CN103" s="123">
        <f t="shared" si="401"/>
        <v>1.5564244</v>
      </c>
      <c r="CO103" s="124">
        <f aca="true" t="shared" si="402" ref="CO103:CT103">CO162</f>
        <v>1.4124632999999998</v>
      </c>
      <c r="CP103" s="124">
        <f t="shared" si="402"/>
        <v>1.7499869000000006</v>
      </c>
      <c r="CQ103" s="124">
        <f t="shared" si="402"/>
        <v>1.6351772999999996</v>
      </c>
      <c r="CR103" s="473">
        <f t="shared" si="402"/>
        <v>1.4352387</v>
      </c>
      <c r="CS103" s="124">
        <f t="shared" si="402"/>
        <v>1.1619716999999998</v>
      </c>
      <c r="CT103" s="124">
        <f t="shared" si="402"/>
        <v>1.8109913000000006</v>
      </c>
      <c r="CU103" s="124">
        <f aca="true" t="shared" si="403" ref="CU103:CZ103">CU162</f>
        <v>1.8314432</v>
      </c>
      <c r="CV103" s="123">
        <f t="shared" si="403"/>
        <v>1.6514354</v>
      </c>
      <c r="CW103" s="124">
        <f t="shared" si="403"/>
        <v>1.7284039999999998</v>
      </c>
      <c r="CX103" s="124">
        <f t="shared" si="403"/>
        <v>1.9330161000000006</v>
      </c>
      <c r="CY103" s="124">
        <f t="shared" si="403"/>
        <v>2.1753273999999996</v>
      </c>
      <c r="CZ103" s="123">
        <f t="shared" si="403"/>
        <v>1.9132466</v>
      </c>
      <c r="DA103" s="124">
        <f aca="true" t="shared" si="404" ref="DA103:DF103">DA162</f>
        <v>1.6573878000000004</v>
      </c>
      <c r="DB103" s="124">
        <f t="shared" si="404"/>
        <v>1.8541862999999994</v>
      </c>
      <c r="DC103" s="124">
        <f t="shared" si="404"/>
        <v>1.6555466</v>
      </c>
      <c r="DD103" s="123">
        <f t="shared" si="404"/>
        <v>1.6908454000000002</v>
      </c>
      <c r="DE103" s="124">
        <f t="shared" si="404"/>
        <v>1.7222466</v>
      </c>
      <c r="DF103" s="124">
        <f t="shared" si="404"/>
        <v>1.7455148</v>
      </c>
      <c r="DG103" s="124">
        <f aca="true" t="shared" si="405" ref="DG103:DL103">DG162</f>
        <v>1.6925119999999994</v>
      </c>
      <c r="DH103" s="123">
        <f t="shared" si="405"/>
        <v>1.5219648000000001</v>
      </c>
      <c r="DI103" s="124">
        <f t="shared" si="405"/>
        <v>1.6213354</v>
      </c>
      <c r="DJ103" s="124">
        <f t="shared" si="405"/>
        <v>1.887141</v>
      </c>
      <c r="DK103" s="124">
        <f t="shared" si="405"/>
        <v>1.5663224</v>
      </c>
      <c r="DL103" s="123">
        <f t="shared" si="405"/>
        <v>1.4603351</v>
      </c>
      <c r="DM103" s="124">
        <f aca="true" t="shared" si="406" ref="DM103:DR103">DM162</f>
        <v>1.2264212</v>
      </c>
      <c r="DN103" s="124">
        <f t="shared" si="406"/>
        <v>1.8096221</v>
      </c>
      <c r="DO103" s="124">
        <f t="shared" si="406"/>
        <v>1.8361838999999995</v>
      </c>
      <c r="DP103" s="123">
        <f t="shared" si="406"/>
        <v>1.6785948</v>
      </c>
      <c r="DQ103" s="124">
        <f t="shared" si="406"/>
        <v>1.5350747999999999</v>
      </c>
      <c r="DR103" s="124">
        <f t="shared" si="406"/>
        <v>1.4113562000000002</v>
      </c>
      <c r="DS103" s="124">
        <f>DS162</f>
        <v>1.698551399999999</v>
      </c>
      <c r="DT103" s="91"/>
      <c r="DU103" s="109">
        <v>1.6</v>
      </c>
      <c r="DV103" s="109">
        <v>1.5</v>
      </c>
      <c r="DW103" s="109">
        <v>1.6999999999999997</v>
      </c>
      <c r="DX103" s="340">
        <v>1.6000000000000005</v>
      </c>
      <c r="DY103" s="341">
        <v>1.6771371</v>
      </c>
      <c r="DZ103" s="109">
        <f>FQ103-DY103</f>
        <v>1.4537733999999984</v>
      </c>
      <c r="EA103" s="109">
        <f t="shared" si="355"/>
        <v>1.813037600000007</v>
      </c>
      <c r="EB103" s="340">
        <f t="shared" si="355"/>
        <v>1.6560518999999942</v>
      </c>
      <c r="EC103" s="341">
        <v>1.3318496</v>
      </c>
      <c r="ED103" s="109">
        <f>FT103-EC103</f>
        <v>1.2844607</v>
      </c>
      <c r="EE103" s="109">
        <f>FU103-EC103-ED103</f>
        <v>1.4520049999999949</v>
      </c>
      <c r="EF103" s="109">
        <f>FV103-EE103-ED103-EC103</f>
        <v>1.6595171000000009</v>
      </c>
      <c r="EG103" s="341">
        <v>1.5564243999999994</v>
      </c>
      <c r="EH103" s="109">
        <f>FW103-EG103</f>
        <v>1.412463299999999</v>
      </c>
      <c r="EI103" s="109">
        <f>FX103-EH103-EG103</f>
        <v>1.750112300000002</v>
      </c>
      <c r="EJ103" s="109">
        <f>FY103-EI103-EH103-EG103</f>
        <v>1.6350518999999986</v>
      </c>
      <c r="EK103" s="420">
        <v>1.4352387</v>
      </c>
      <c r="EL103" s="109">
        <f>FZ103-EK103</f>
        <v>1.1619716999999998</v>
      </c>
      <c r="EM103" s="109">
        <f>GA103-EL103-EK103</f>
        <v>1.7861772999999996</v>
      </c>
      <c r="EN103" s="109">
        <f>GB103-EM103-EL103-EK103</f>
        <v>1.8224974000000016</v>
      </c>
      <c r="EO103" s="341">
        <v>1.6514354000000002</v>
      </c>
      <c r="EP103" s="109">
        <f>GC103-EO103</f>
        <v>1.728404</v>
      </c>
      <c r="EQ103" s="109">
        <f>GD103-GC103</f>
        <v>1.933016100000002</v>
      </c>
      <c r="ER103" s="109">
        <f>GE103-GD103</f>
        <v>2.175327399999997</v>
      </c>
      <c r="ES103" s="420">
        <v>1.9132466000000001</v>
      </c>
      <c r="ET103" s="109">
        <f>GF103-ES103</f>
        <v>1.6573878000000002</v>
      </c>
      <c r="EU103" s="109">
        <f>GG103-ET103-ES103</f>
        <v>1.854186300000001</v>
      </c>
      <c r="EV103" s="109">
        <f>GH103-GG103</f>
        <v>1.6555465999999992</v>
      </c>
      <c r="EW103" s="341">
        <v>1.6908454</v>
      </c>
      <c r="EX103" s="109">
        <f>GI103-EW103</f>
        <v>1.7222466000000003</v>
      </c>
      <c r="EY103" s="109">
        <f>GJ103-EX103-EW103</f>
        <v>1.7455148000000003</v>
      </c>
      <c r="EZ103" s="109">
        <f>GK103-GJ103</f>
        <v>1.6925120000000007</v>
      </c>
      <c r="FA103" s="341">
        <v>1.5219648</v>
      </c>
      <c r="FB103" s="109">
        <f>GL103-FA103</f>
        <v>1.6213353999999993</v>
      </c>
      <c r="FC103" s="109">
        <f>GM103-GL103</f>
        <v>1.7285986000000002</v>
      </c>
      <c r="FD103" s="109">
        <f>GN103-GM103</f>
        <v>1.7248648000000015</v>
      </c>
      <c r="FE103" s="341">
        <v>1.4603350999999998</v>
      </c>
      <c r="FF103" s="109">
        <f>GO103-FE103</f>
        <v>1.2264211999999997</v>
      </c>
      <c r="FG103" s="109">
        <f>GP103-GO103</f>
        <v>1.8096221000000008</v>
      </c>
      <c r="FH103" s="109">
        <f>GQ103-GP103</f>
        <v>1.8361839000000009</v>
      </c>
      <c r="FI103" s="341">
        <v>1.6785947999999997</v>
      </c>
      <c r="FJ103" s="109">
        <f>GR103-FI103</f>
        <v>1.5350748000000005</v>
      </c>
      <c r="FK103" s="109">
        <f>GS103-GR103</f>
        <v>1.4113561999999993</v>
      </c>
      <c r="FL103" s="109">
        <f>GT103-GS103</f>
        <v>1.6985514000000022</v>
      </c>
      <c r="FM103" s="63"/>
      <c r="FN103" s="110">
        <f aca="true" t="shared" si="407" ref="FN103:FW103">FN49</f>
        <v>3.1</v>
      </c>
      <c r="FO103" s="110">
        <f t="shared" si="407"/>
        <v>4.8</v>
      </c>
      <c r="FP103" s="110">
        <f t="shared" si="407"/>
        <v>6.4</v>
      </c>
      <c r="FQ103" s="110">
        <f t="shared" si="407"/>
        <v>3.1309104999999984</v>
      </c>
      <c r="FR103" s="110">
        <f t="shared" si="407"/>
        <v>4.943948100000005</v>
      </c>
      <c r="FS103" s="110">
        <f t="shared" si="407"/>
        <v>6.6</v>
      </c>
      <c r="FT103" s="110">
        <f t="shared" si="407"/>
        <v>2.6163103</v>
      </c>
      <c r="FU103" s="110">
        <f t="shared" si="407"/>
        <v>4.068315299999995</v>
      </c>
      <c r="FV103" s="110">
        <f t="shared" si="407"/>
        <v>5.727832399999995</v>
      </c>
      <c r="FW103" s="110">
        <f t="shared" si="407"/>
        <v>2.9688876999999985</v>
      </c>
      <c r="FX103" s="110">
        <v>4.719</v>
      </c>
      <c r="FY103" s="110">
        <v>6.354051899999999</v>
      </c>
      <c r="FZ103" s="110">
        <v>2.5972104</v>
      </c>
      <c r="GA103" s="110">
        <v>4.383387699999999</v>
      </c>
      <c r="GB103" s="110">
        <v>6.205885100000001</v>
      </c>
      <c r="GC103" s="110">
        <v>3.3798394000000003</v>
      </c>
      <c r="GD103" s="110">
        <v>5.312855500000002</v>
      </c>
      <c r="GE103" s="110">
        <v>7.488182899999999</v>
      </c>
      <c r="GF103" s="110">
        <v>3.5706344000000003</v>
      </c>
      <c r="GG103" s="110">
        <v>5.4248207000000015</v>
      </c>
      <c r="GH103" s="110">
        <v>7.080367300000001</v>
      </c>
      <c r="GI103" s="110">
        <v>3.4130920000000002</v>
      </c>
      <c r="GJ103" s="110">
        <v>5.1586068</v>
      </c>
      <c r="GK103" s="110">
        <v>6.851118800000001</v>
      </c>
      <c r="GL103" s="110">
        <v>3.143300199999999</v>
      </c>
      <c r="GM103" s="110">
        <v>4.871898799999999</v>
      </c>
      <c r="GN103" s="110">
        <v>6.596763600000001</v>
      </c>
      <c r="GO103" s="110">
        <v>2.6867562999999994</v>
      </c>
      <c r="GP103" s="110">
        <v>4.4963784</v>
      </c>
      <c r="GQ103" s="110">
        <v>6.332562300000001</v>
      </c>
      <c r="GR103" s="110">
        <v>3.2136696000000002</v>
      </c>
      <c r="GS103" s="110">
        <v>4.6250257999999995</v>
      </c>
      <c r="GT103" s="110">
        <v>6.323577200000002</v>
      </c>
    </row>
    <row r="104" spans="1:202" s="129" customFormat="1" ht="15" customHeight="1">
      <c r="A104" s="100" t="s">
        <v>104</v>
      </c>
      <c r="B104" s="100" t="s">
        <v>93</v>
      </c>
      <c r="C104" s="257">
        <f>C163</f>
        <v>0.0008299</v>
      </c>
      <c r="D104" s="257">
        <f aca="true" t="shared" si="408" ref="D104:AF104">D163</f>
        <v>0.0022151000000000002</v>
      </c>
      <c r="E104" s="257">
        <f t="shared" si="408"/>
        <v>0.0008108</v>
      </c>
      <c r="F104" s="258">
        <f t="shared" si="408"/>
        <v>0.0012772000000000005</v>
      </c>
      <c r="G104" s="256">
        <f t="shared" si="408"/>
        <v>0.0007805</v>
      </c>
      <c r="H104" s="257">
        <f t="shared" si="408"/>
        <v>0</v>
      </c>
      <c r="I104" s="257">
        <f t="shared" si="408"/>
        <v>0</v>
      </c>
      <c r="J104" s="258">
        <f t="shared" si="408"/>
        <v>0</v>
      </c>
      <c r="K104" s="256">
        <f t="shared" si="408"/>
        <v>0</v>
      </c>
      <c r="L104" s="257">
        <f t="shared" si="408"/>
        <v>0</v>
      </c>
      <c r="M104" s="257">
        <f t="shared" si="408"/>
        <v>0</v>
      </c>
      <c r="N104" s="258">
        <f t="shared" si="408"/>
        <v>0</v>
      </c>
      <c r="O104" s="256">
        <f t="shared" si="408"/>
        <v>0.0020638</v>
      </c>
      <c r="P104" s="257">
        <f t="shared" si="408"/>
        <v>0</v>
      </c>
      <c r="Q104" s="257">
        <f t="shared" si="408"/>
        <v>0</v>
      </c>
      <c r="R104" s="268">
        <f t="shared" si="408"/>
        <v>0</v>
      </c>
      <c r="S104" s="256">
        <f t="shared" si="408"/>
        <v>0.0020638</v>
      </c>
      <c r="T104" s="257">
        <f t="shared" si="408"/>
        <v>0.00028419999999999964</v>
      </c>
      <c r="U104" s="257">
        <f t="shared" si="408"/>
        <v>0.0009436000000000002</v>
      </c>
      <c r="V104" s="257">
        <f t="shared" si="408"/>
        <v>0.0013079000000000003</v>
      </c>
      <c r="W104" s="256">
        <f t="shared" si="408"/>
        <v>0.0011637</v>
      </c>
      <c r="X104" s="257">
        <f t="shared" si="408"/>
        <v>0.0012873000000000001</v>
      </c>
      <c r="Y104" s="257">
        <f t="shared" si="408"/>
        <v>0</v>
      </c>
      <c r="Z104" s="257">
        <f t="shared" si="408"/>
        <v>0.002549</v>
      </c>
      <c r="AA104" s="256">
        <f t="shared" si="408"/>
        <v>0.0034444</v>
      </c>
      <c r="AB104" s="257">
        <f t="shared" si="408"/>
        <v>0.0065704000000000005</v>
      </c>
      <c r="AC104" s="257">
        <f t="shared" si="408"/>
        <v>0.0080239</v>
      </c>
      <c r="AD104" s="257">
        <f t="shared" si="408"/>
        <v>0.006612736999999997</v>
      </c>
      <c r="AE104" s="256">
        <f t="shared" si="408"/>
        <v>0.0064482</v>
      </c>
      <c r="AF104" s="257">
        <f t="shared" si="408"/>
        <v>0.0051392999999999986</v>
      </c>
      <c r="AG104" s="257">
        <f t="shared" si="398"/>
        <v>0.0033462000000000014</v>
      </c>
      <c r="AH104" s="268">
        <f t="shared" si="398"/>
        <v>0.004366599999999999</v>
      </c>
      <c r="AI104" s="465">
        <f t="shared" si="398"/>
        <v>0.0040018</v>
      </c>
      <c r="AJ104" s="257">
        <f t="shared" si="399"/>
        <v>0.0013557999999999999</v>
      </c>
      <c r="AK104" s="257">
        <f t="shared" si="399"/>
        <v>0.005673199999999996</v>
      </c>
      <c r="AL104" s="257">
        <f t="shared" si="399"/>
        <v>0.0014691000000000036</v>
      </c>
      <c r="AM104" s="465">
        <f t="shared" si="399"/>
        <v>0.0017671</v>
      </c>
      <c r="AN104" s="257">
        <f t="shared" si="400"/>
        <v>0.0021645000000000006</v>
      </c>
      <c r="AO104" s="257">
        <f t="shared" si="400"/>
        <v>0.0038415999999999997</v>
      </c>
      <c r="AP104" s="257">
        <f t="shared" si="400"/>
        <v>0.002812799999999999</v>
      </c>
      <c r="AQ104" s="256">
        <f>AQ163</f>
        <v>0.0028081</v>
      </c>
      <c r="AR104" s="257">
        <f>AR163</f>
        <v>0.0037140999999999997</v>
      </c>
      <c r="AS104" s="257">
        <f t="shared" si="391"/>
        <v>0.003531500000000001</v>
      </c>
      <c r="AT104" s="257">
        <f t="shared" si="391"/>
        <v>0.0040042</v>
      </c>
      <c r="AU104" s="465">
        <f t="shared" si="391"/>
        <v>0.0048033</v>
      </c>
      <c r="AV104" s="257">
        <f t="shared" si="392"/>
        <v>0.004687200000000001</v>
      </c>
      <c r="AW104" s="257">
        <f t="shared" si="392"/>
        <v>0.006192699999999997</v>
      </c>
      <c r="AX104" s="268">
        <f t="shared" si="393"/>
        <v>0.005012700000000002</v>
      </c>
      <c r="AY104" s="256">
        <f t="shared" si="393"/>
        <v>0.0046119</v>
      </c>
      <c r="AZ104" s="257">
        <f t="shared" si="393"/>
        <v>0.0043278</v>
      </c>
      <c r="BA104" s="257">
        <f t="shared" si="393"/>
        <v>0.0049226</v>
      </c>
      <c r="BB104" s="257">
        <f t="shared" si="394"/>
        <v>0.003989999999999998</v>
      </c>
      <c r="BC104" s="256">
        <f t="shared" si="394"/>
        <v>0.0039534999999999995</v>
      </c>
      <c r="BD104" s="257">
        <f t="shared" si="394"/>
        <v>0.0045693</v>
      </c>
      <c r="BE104" s="257">
        <f t="shared" si="395"/>
        <v>0.0039621000000000005</v>
      </c>
      <c r="BF104" s="257">
        <f t="shared" si="395"/>
        <v>0.004228</v>
      </c>
      <c r="BG104" s="256">
        <f t="shared" si="395"/>
        <v>0.0034526</v>
      </c>
      <c r="BH104" s="257">
        <f t="shared" si="395"/>
        <v>0.0033886000000000003</v>
      </c>
      <c r="BI104" s="257">
        <f t="shared" si="396"/>
        <v>0.0036017999999999988</v>
      </c>
      <c r="BJ104" s="257">
        <f t="shared" si="396"/>
        <v>0.0035009000000000012</v>
      </c>
      <c r="BK104" s="619"/>
      <c r="BL104" s="111"/>
      <c r="BM104" s="111"/>
      <c r="BN104" s="111"/>
      <c r="BO104" s="112"/>
      <c r="BP104" s="113"/>
      <c r="BQ104" s="114"/>
      <c r="BR104" s="114"/>
      <c r="BS104" s="115"/>
      <c r="BT104" s="113"/>
      <c r="BU104" s="114"/>
      <c r="BV104" s="114"/>
      <c r="BW104" s="115"/>
      <c r="BX104" s="113"/>
      <c r="BY104" s="114"/>
      <c r="BZ104" s="114"/>
      <c r="CA104" s="114"/>
      <c r="CB104" s="113"/>
      <c r="CC104" s="114"/>
      <c r="CD104" s="114"/>
      <c r="CE104" s="114"/>
      <c r="CF104" s="113"/>
      <c r="CG104" s="114"/>
      <c r="CH104" s="114"/>
      <c r="CI104" s="114"/>
      <c r="CJ104" s="113"/>
      <c r="CK104" s="114"/>
      <c r="CL104" s="114"/>
      <c r="CM104" s="406"/>
      <c r="CN104" s="113"/>
      <c r="CO104" s="114"/>
      <c r="CP104" s="114"/>
      <c r="CQ104" s="114"/>
      <c r="CR104" s="472"/>
      <c r="CS104" s="114"/>
      <c r="CT104" s="114"/>
      <c r="CU104" s="114"/>
      <c r="CV104" s="113"/>
      <c r="CW104" s="114"/>
      <c r="CX104" s="114"/>
      <c r="CY104" s="114"/>
      <c r="CZ104" s="113"/>
      <c r="DA104" s="114"/>
      <c r="DB104" s="114"/>
      <c r="DC104" s="114"/>
      <c r="DD104" s="113"/>
      <c r="DE104" s="114"/>
      <c r="DF104" s="114"/>
      <c r="DG104" s="114"/>
      <c r="DH104" s="113"/>
      <c r="DI104" s="114"/>
      <c r="DJ104" s="114"/>
      <c r="DK104" s="114"/>
      <c r="DL104" s="113"/>
      <c r="DM104" s="114"/>
      <c r="DN104" s="114"/>
      <c r="DO104" s="114"/>
      <c r="DP104" s="113"/>
      <c r="DQ104" s="114"/>
      <c r="DR104" s="114"/>
      <c r="DS104" s="114"/>
      <c r="DT104" s="500"/>
      <c r="DU104" s="126"/>
      <c r="DV104" s="126"/>
      <c r="DW104" s="126"/>
      <c r="DX104" s="342"/>
      <c r="DY104" s="343"/>
      <c r="DZ104" s="126"/>
      <c r="EA104" s="126"/>
      <c r="EB104" s="342"/>
      <c r="EC104" s="343"/>
      <c r="ED104" s="126"/>
      <c r="EE104" s="126"/>
      <c r="EF104" s="126"/>
      <c r="EG104" s="343"/>
      <c r="EH104" s="126"/>
      <c r="EI104" s="126"/>
      <c r="EJ104" s="126"/>
      <c r="EK104" s="490"/>
      <c r="EL104" s="126"/>
      <c r="EM104" s="126"/>
      <c r="EN104" s="126"/>
      <c r="EO104" s="343"/>
      <c r="EP104" s="126"/>
      <c r="EQ104" s="126"/>
      <c r="ER104" s="126"/>
      <c r="ES104" s="490"/>
      <c r="ET104" s="126"/>
      <c r="EU104" s="126"/>
      <c r="EV104" s="126"/>
      <c r="EW104" s="343"/>
      <c r="EX104" s="126"/>
      <c r="EY104" s="126"/>
      <c r="EZ104" s="126"/>
      <c r="FA104" s="343"/>
      <c r="FB104" s="126"/>
      <c r="FC104" s="126"/>
      <c r="FD104" s="126"/>
      <c r="FE104" s="343"/>
      <c r="FF104" s="126"/>
      <c r="FG104" s="126"/>
      <c r="FH104" s="126"/>
      <c r="FI104" s="343"/>
      <c r="FJ104" s="126"/>
      <c r="FK104" s="126"/>
      <c r="FL104" s="126"/>
      <c r="FM104" s="127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</row>
    <row r="105" spans="1:202" ht="31.5">
      <c r="A105" s="290" t="s">
        <v>181</v>
      </c>
      <c r="B105" s="302" t="s">
        <v>197</v>
      </c>
      <c r="C105" s="254">
        <f aca="true" t="shared" si="409" ref="C105:AD105">C65-C66+C67-C68+C79-C80+C85-C86+C95-C104</f>
        <v>1168.5002691999998</v>
      </c>
      <c r="D105" s="254">
        <f t="shared" si="409"/>
        <v>1143.9350428</v>
      </c>
      <c r="E105" s="254">
        <f t="shared" si="409"/>
        <v>1172.4431421</v>
      </c>
      <c r="F105" s="255">
        <f t="shared" si="409"/>
        <v>1273.5991399</v>
      </c>
      <c r="G105" s="253">
        <f t="shared" si="409"/>
        <v>1144.8992195000003</v>
      </c>
      <c r="H105" s="254">
        <f t="shared" si="409"/>
        <v>1210.8608671</v>
      </c>
      <c r="I105" s="254">
        <f t="shared" si="409"/>
        <v>1072.8391329</v>
      </c>
      <c r="J105" s="255">
        <f t="shared" si="409"/>
        <v>716.0005420000002</v>
      </c>
      <c r="K105" s="253">
        <f t="shared" si="409"/>
        <v>1241.12077</v>
      </c>
      <c r="L105" s="254">
        <f t="shared" si="409"/>
        <v>1228.8328511</v>
      </c>
      <c r="M105" s="254">
        <f t="shared" si="409"/>
        <v>1184.9152232000001</v>
      </c>
      <c r="N105" s="255">
        <f t="shared" si="409"/>
        <v>1272.2386112</v>
      </c>
      <c r="O105" s="253">
        <f t="shared" si="409"/>
        <v>1318.1033117999998</v>
      </c>
      <c r="P105" s="254">
        <f t="shared" si="409"/>
        <v>1254.5825299000003</v>
      </c>
      <c r="Q105" s="254">
        <f t="shared" si="409"/>
        <v>1074.966946</v>
      </c>
      <c r="R105" s="254">
        <f t="shared" si="409"/>
        <v>1244.0802570999997</v>
      </c>
      <c r="S105" s="253">
        <f t="shared" si="409"/>
        <v>1298.4979362</v>
      </c>
      <c r="T105" s="254">
        <f t="shared" si="409"/>
        <v>1288.0536408000003</v>
      </c>
      <c r="U105" s="254">
        <f t="shared" si="409"/>
        <v>1307.5089099</v>
      </c>
      <c r="V105" s="254">
        <f t="shared" si="409"/>
        <v>1361.1513957000002</v>
      </c>
      <c r="W105" s="253">
        <f t="shared" si="409"/>
        <v>1356.6273187</v>
      </c>
      <c r="X105" s="254">
        <f t="shared" si="409"/>
        <v>1349.5570722999998</v>
      </c>
      <c r="Y105" s="254">
        <f t="shared" si="409"/>
        <v>1274.7131579999998</v>
      </c>
      <c r="Z105" s="254">
        <f t="shared" si="409"/>
        <v>1242.497451</v>
      </c>
      <c r="AA105" s="253">
        <f t="shared" si="409"/>
        <v>1337.5081374999997</v>
      </c>
      <c r="AB105" s="254">
        <f t="shared" si="409"/>
        <v>1266.6904106</v>
      </c>
      <c r="AC105" s="254">
        <f t="shared" si="409"/>
        <v>1292.1429982</v>
      </c>
      <c r="AD105" s="254">
        <f t="shared" si="409"/>
        <v>1422.0729565629958</v>
      </c>
      <c r="AE105" s="253">
        <f>AE65-AE66+AE67-AE68+AE79-AE80+AE85-AE86+AE95-AE96</f>
        <v>1435.0667552</v>
      </c>
      <c r="AF105" s="254">
        <f aca="true" t="shared" si="410" ref="AF105:AL105">AF65-AF66+AF67-AF68+AF79-AF80+AF85-AF86+AF95-AF96</f>
        <v>1423.1501139000002</v>
      </c>
      <c r="AG105" s="254">
        <f t="shared" si="410"/>
        <v>1608.3301413999998</v>
      </c>
      <c r="AH105" s="269">
        <f t="shared" si="410"/>
        <v>1683.1290130000007</v>
      </c>
      <c r="AI105" s="464">
        <f t="shared" si="410"/>
        <v>1767.7241733000003</v>
      </c>
      <c r="AJ105" s="254">
        <f t="shared" si="410"/>
        <v>1736.5210371</v>
      </c>
      <c r="AK105" s="254">
        <f t="shared" si="410"/>
        <v>1737.1036129</v>
      </c>
      <c r="AL105" s="254">
        <f t="shared" si="410"/>
        <v>1821.7551006999997</v>
      </c>
      <c r="AM105" s="551">
        <f aca="true" t="shared" si="411" ref="AM105:AR105">AM65-AM66+AM67-AM68+AM79-AM80+AM85-AM86+AM95-AM96</f>
        <v>1840.5835736</v>
      </c>
      <c r="AN105" s="534">
        <f t="shared" si="411"/>
        <v>1753.7120354999997</v>
      </c>
      <c r="AO105" s="254">
        <f t="shared" si="411"/>
        <v>1819.5403350000004</v>
      </c>
      <c r="AP105" s="254">
        <f t="shared" si="411"/>
        <v>1836.8663327000002</v>
      </c>
      <c r="AQ105" s="253">
        <f t="shared" si="411"/>
        <v>1901.4468757</v>
      </c>
      <c r="AR105" s="254">
        <f t="shared" si="411"/>
        <v>1811.6832978000011</v>
      </c>
      <c r="AS105" s="254">
        <f aca="true" t="shared" si="412" ref="AS105:AX105">AS65-AS66+AS67-AS68+AS79-AS80+AS85-AS86+AS95-AS96</f>
        <v>1907.6685061999995</v>
      </c>
      <c r="AT105" s="254">
        <f t="shared" si="412"/>
        <v>1545.0796348</v>
      </c>
      <c r="AU105" s="464">
        <f t="shared" si="412"/>
        <v>1901.7384702599998</v>
      </c>
      <c r="AV105" s="254">
        <f t="shared" si="412"/>
        <v>1914.2015948399996</v>
      </c>
      <c r="AW105" s="254">
        <f t="shared" si="412"/>
        <v>1977.1936514</v>
      </c>
      <c r="AX105" s="269">
        <f t="shared" si="412"/>
        <v>1900.1484261999997</v>
      </c>
      <c r="AY105" s="253">
        <f aca="true" t="shared" si="413" ref="AY105:BD105">AY65-AY66+AY67-AY68+AY79-AY80+AY85-AY86+AY95-AY96</f>
        <v>1960.5367601036962</v>
      </c>
      <c r="AZ105" s="254">
        <f t="shared" si="413"/>
        <v>2052.5470451999995</v>
      </c>
      <c r="BA105" s="254">
        <f t="shared" si="413"/>
        <v>2070.422678297287</v>
      </c>
      <c r="BB105" s="254">
        <f t="shared" si="413"/>
        <v>2096.5416939990178</v>
      </c>
      <c r="BC105" s="253">
        <f t="shared" si="413"/>
        <v>2104.9901283000004</v>
      </c>
      <c r="BD105" s="254">
        <f t="shared" si="413"/>
        <v>1840.2801377042238</v>
      </c>
      <c r="BE105" s="254">
        <f aca="true" t="shared" si="414" ref="BE105:BJ105">BE65-BE66+BE67-BE68+BE79-BE80+BE85-BE86+BE95-BE96</f>
        <v>2075.120348891626</v>
      </c>
      <c r="BF105" s="254">
        <f t="shared" si="414"/>
        <v>2081.7313328081214</v>
      </c>
      <c r="BG105" s="253">
        <f t="shared" si="414"/>
        <v>2129.0621484000003</v>
      </c>
      <c r="BH105" s="254">
        <f t="shared" si="414"/>
        <v>2089.2532919699997</v>
      </c>
      <c r="BI105" s="254">
        <f t="shared" si="414"/>
        <v>1963.1120032</v>
      </c>
      <c r="BJ105" s="254">
        <f t="shared" si="414"/>
        <v>2071.372843995702</v>
      </c>
      <c r="BK105" s="619"/>
      <c r="BL105" s="303">
        <f aca="true" t="shared" si="415" ref="BL105:CQ105">BL65-BL66+BL67-BL68+BL79-BL80+BL85-BL86+BL95</f>
        <v>1197.7653980999999</v>
      </c>
      <c r="BM105" s="303">
        <f t="shared" si="415"/>
        <v>1139.1804879</v>
      </c>
      <c r="BN105" s="303">
        <f t="shared" si="415"/>
        <v>1160.2124557000002</v>
      </c>
      <c r="BO105" s="304">
        <f t="shared" si="415"/>
        <v>1209.5482407999998</v>
      </c>
      <c r="BP105" s="305">
        <f t="shared" si="415"/>
        <v>1134.6</v>
      </c>
      <c r="BQ105" s="303">
        <f t="shared" si="415"/>
        <v>1203.8437620000002</v>
      </c>
      <c r="BR105" s="303">
        <f t="shared" si="415"/>
        <v>1074.0562380000001</v>
      </c>
      <c r="BS105" s="304">
        <f t="shared" si="415"/>
        <v>1222.6000000000001</v>
      </c>
      <c r="BT105" s="305">
        <f t="shared" si="415"/>
        <v>1264.0885999999998</v>
      </c>
      <c r="BU105" s="303">
        <f t="shared" si="415"/>
        <v>1243.3824705</v>
      </c>
      <c r="BV105" s="303">
        <f t="shared" si="415"/>
        <v>1169.8449295</v>
      </c>
      <c r="BW105" s="304">
        <f t="shared" si="415"/>
        <v>1283.2721539999998</v>
      </c>
      <c r="BX105" s="305">
        <f t="shared" si="415"/>
        <v>1325.821</v>
      </c>
      <c r="BY105" s="303">
        <f t="shared" si="415"/>
        <v>1244.4194878</v>
      </c>
      <c r="BZ105" s="303">
        <f t="shared" si="415"/>
        <v>1062.5595122000002</v>
      </c>
      <c r="CA105" s="304">
        <f t="shared" si="415"/>
        <v>1224.15339168</v>
      </c>
      <c r="CB105" s="305">
        <f t="shared" si="415"/>
        <v>1288.8</v>
      </c>
      <c r="CC105" s="303">
        <f t="shared" si="415"/>
        <v>1272.4445230000001</v>
      </c>
      <c r="CD105" s="303">
        <f t="shared" si="415"/>
        <v>1343.59672946</v>
      </c>
      <c r="CE105" s="303">
        <f t="shared" si="415"/>
        <v>1364.27602854</v>
      </c>
      <c r="CF105" s="305">
        <f t="shared" si="415"/>
        <v>1356.3561971000001</v>
      </c>
      <c r="CG105" s="303">
        <f t="shared" si="415"/>
        <v>1337.8341768999999</v>
      </c>
      <c r="CH105" s="303">
        <f t="shared" si="415"/>
        <v>1311.6096260000002</v>
      </c>
      <c r="CI105" s="303">
        <f t="shared" si="415"/>
        <v>1235.2999999999997</v>
      </c>
      <c r="CJ105" s="305">
        <f t="shared" si="415"/>
        <v>1336.8729921</v>
      </c>
      <c r="CK105" s="303">
        <f t="shared" si="415"/>
        <v>1251.9001531999997</v>
      </c>
      <c r="CL105" s="303">
        <f t="shared" si="415"/>
        <v>1296.6390655000002</v>
      </c>
      <c r="CM105" s="304">
        <f t="shared" si="415"/>
        <v>1418.228618099995</v>
      </c>
      <c r="CN105" s="305">
        <f t="shared" si="415"/>
        <v>1416.4711759000002</v>
      </c>
      <c r="CO105" s="303">
        <f t="shared" si="415"/>
        <v>1436.7121653000002</v>
      </c>
      <c r="CP105" s="303">
        <f t="shared" si="415"/>
        <v>1630.5855704</v>
      </c>
      <c r="CQ105" s="303">
        <f t="shared" si="415"/>
        <v>1670.0176998000002</v>
      </c>
      <c r="CR105" s="391">
        <f aca="true" t="shared" si="416" ref="CR105:CY105">CR65-CR66+CR67-CR68+CR79-CR80+CR85-CR86+CR95</f>
        <v>1765.2771657</v>
      </c>
      <c r="CS105" s="303">
        <f t="shared" si="416"/>
        <v>1683.1633452</v>
      </c>
      <c r="CT105" s="303">
        <f t="shared" si="416"/>
        <v>1783.8650303</v>
      </c>
      <c r="CU105" s="303">
        <f t="shared" si="416"/>
        <v>1771.8414352</v>
      </c>
      <c r="CV105" s="305">
        <f t="shared" si="416"/>
        <v>1878.2111704</v>
      </c>
      <c r="CW105" s="303">
        <f t="shared" si="416"/>
        <v>1715.855564</v>
      </c>
      <c r="CX105" s="303">
        <f t="shared" si="416"/>
        <v>1793.7294170999999</v>
      </c>
      <c r="CY105" s="303">
        <f t="shared" si="416"/>
        <v>1887.9406284</v>
      </c>
      <c r="CZ105" s="305">
        <f aca="true" t="shared" si="417" ref="CZ105:DE105">CZ65-CZ66+CZ67-CZ68+CZ79-CZ80+CZ85-CZ86+CZ95</f>
        <v>1862.5744901000003</v>
      </c>
      <c r="DA105" s="303">
        <f t="shared" si="417"/>
        <v>1838.5367967999998</v>
      </c>
      <c r="DB105" s="303">
        <f t="shared" si="417"/>
        <v>1880.72799284</v>
      </c>
      <c r="DC105" s="303">
        <f t="shared" si="417"/>
        <v>1595.2566220999995</v>
      </c>
      <c r="DD105" s="305">
        <f t="shared" si="417"/>
        <v>1904.2387814000003</v>
      </c>
      <c r="DE105" s="303">
        <f t="shared" si="417"/>
        <v>1911.2389771000005</v>
      </c>
      <c r="DF105" s="303">
        <f aca="true" t="shared" si="418" ref="DF105:DK105">DF65-DF66+DF67-DF68+DF79-DF80+DF85-DF86+DF95</f>
        <v>1965.6524623</v>
      </c>
      <c r="DG105" s="303">
        <f t="shared" si="418"/>
        <v>1870.1382950000004</v>
      </c>
      <c r="DH105" s="305">
        <f t="shared" si="418"/>
        <v>1990.5421222999998</v>
      </c>
      <c r="DI105" s="303">
        <f t="shared" si="418"/>
        <v>2042.0646364</v>
      </c>
      <c r="DJ105" s="303">
        <f t="shared" si="418"/>
        <v>1845.7581701000001</v>
      </c>
      <c r="DK105" s="303">
        <f t="shared" si="418"/>
        <v>2158.6374343999996</v>
      </c>
      <c r="DL105" s="305">
        <f aca="true" t="shared" si="419" ref="DL105:DQ105">DL65-DL66+DL67-DL68+DL79-DL80+DL85-DL86+DL95</f>
        <v>2241.3525836</v>
      </c>
      <c r="DM105" s="303">
        <f t="shared" si="419"/>
        <v>1527.8266887</v>
      </c>
      <c r="DN105" s="303">
        <f t="shared" si="419"/>
        <v>2127.8441371</v>
      </c>
      <c r="DO105" s="303">
        <f t="shared" si="419"/>
        <v>2062.3839719000002</v>
      </c>
      <c r="DP105" s="305">
        <f t="shared" si="419"/>
        <v>2165.3780588</v>
      </c>
      <c r="DQ105" s="303">
        <f t="shared" si="419"/>
        <v>1985.9318303</v>
      </c>
      <c r="DR105" s="303">
        <f>DR65-DR66+DR67-DR68+DR79-DR80+DR85-DR86+DR95</f>
        <v>2077.7126552</v>
      </c>
      <c r="DS105" s="303">
        <f>DS65-DS66+DS67-DS68+DS79-DS80+DS85-DS86+DS95</f>
        <v>1926.6735313999995</v>
      </c>
      <c r="DT105" s="91"/>
      <c r="DU105" s="285">
        <f aca="true" t="shared" si="420" ref="DU105:EJ105">DU65+DU67+DU79+DU85+DU95</f>
        <v>1215.1</v>
      </c>
      <c r="DV105" s="285">
        <f t="shared" si="420"/>
        <v>1288.3</v>
      </c>
      <c r="DW105" s="285">
        <f t="shared" si="420"/>
        <v>1395.6999999999998</v>
      </c>
      <c r="DX105" s="344">
        <f t="shared" si="420"/>
        <v>1349.6800000000003</v>
      </c>
      <c r="DY105" s="345">
        <f t="shared" si="420"/>
        <v>1329.5116531000003</v>
      </c>
      <c r="DZ105" s="285">
        <f t="shared" si="420"/>
        <v>1432.9193938999997</v>
      </c>
      <c r="EA105" s="285">
        <f t="shared" si="420"/>
        <v>1251.1179932</v>
      </c>
      <c r="EB105" s="344">
        <f t="shared" si="420"/>
        <v>1241.5916993000003</v>
      </c>
      <c r="EC105" s="345">
        <f t="shared" si="420"/>
        <v>1246.5869841000003</v>
      </c>
      <c r="ED105" s="285">
        <f t="shared" si="420"/>
        <v>1320.2404021999994</v>
      </c>
      <c r="EE105" s="285">
        <f t="shared" si="420"/>
        <v>1316.9526730000005</v>
      </c>
      <c r="EF105" s="285">
        <f t="shared" si="420"/>
        <v>1359.5855215999968</v>
      </c>
      <c r="EG105" s="345">
        <f t="shared" si="420"/>
        <v>1433.0154567000004</v>
      </c>
      <c r="EH105" s="285">
        <f t="shared" si="420"/>
        <v>1381.9031326000002</v>
      </c>
      <c r="EI105" s="285">
        <f t="shared" si="420"/>
        <v>1593.1385793000004</v>
      </c>
      <c r="EJ105" s="285">
        <f t="shared" si="420"/>
        <v>1604.1467523999993</v>
      </c>
      <c r="EK105" s="487">
        <f aca="true" t="shared" si="421" ref="EK105:EP105">EK65+EK67+EK79+EK85+EK95</f>
        <v>1789.4179176999999</v>
      </c>
      <c r="EL105" s="285">
        <f t="shared" si="421"/>
        <v>1728.3003091999997</v>
      </c>
      <c r="EM105" s="285">
        <f t="shared" si="421"/>
        <v>1756.3458583</v>
      </c>
      <c r="EN105" s="285">
        <f t="shared" si="421"/>
        <v>1745.7748284</v>
      </c>
      <c r="EO105" s="345">
        <f t="shared" si="421"/>
        <v>1794.4409604000002</v>
      </c>
      <c r="EP105" s="285">
        <f t="shared" si="421"/>
        <v>1716.8496733999993</v>
      </c>
      <c r="EQ105" s="515">
        <f aca="true" t="shared" si="422" ref="EQ105:EW105">EQ65+EQ67+EQ79+EQ85+EQ95</f>
        <v>1717.5900871000006</v>
      </c>
      <c r="ER105" s="515">
        <f t="shared" si="422"/>
        <v>1824.2350453999998</v>
      </c>
      <c r="ES105" s="487">
        <f t="shared" si="422"/>
        <v>1764.9863701000002</v>
      </c>
      <c r="ET105" s="285">
        <f t="shared" si="422"/>
        <v>1967.2811967999996</v>
      </c>
      <c r="EU105" s="285">
        <f t="shared" si="422"/>
        <v>1875.9548378400002</v>
      </c>
      <c r="EV105" s="515">
        <f t="shared" si="422"/>
        <v>1670.3854931000005</v>
      </c>
      <c r="EW105" s="345">
        <f t="shared" si="422"/>
        <v>1931.7944009</v>
      </c>
      <c r="EX105" s="285">
        <f aca="true" t="shared" si="423" ref="EX105:FC105">EX65+EX67+EX79+EX85+EX95</f>
        <v>1804.2813905999997</v>
      </c>
      <c r="EY105" s="285">
        <f t="shared" si="423"/>
        <v>1859.1936273000015</v>
      </c>
      <c r="EZ105" s="515">
        <f t="shared" si="423"/>
        <v>1924.0642859999969</v>
      </c>
      <c r="FA105" s="345">
        <f t="shared" si="423"/>
        <v>2036.4385903</v>
      </c>
      <c r="FB105" s="285">
        <f t="shared" si="423"/>
        <v>2016.1207534</v>
      </c>
      <c r="FC105" s="285">
        <f t="shared" si="423"/>
        <v>1877.5524785000005</v>
      </c>
      <c r="FD105" s="285">
        <f aca="true" t="shared" si="424" ref="FD105:FI105">FD65+FD67+FD79+FD85+FD95</f>
        <v>2204.725778999999</v>
      </c>
      <c r="FE105" s="345">
        <f t="shared" si="424"/>
        <v>2412.4768775999996</v>
      </c>
      <c r="FF105" s="285">
        <f t="shared" si="424"/>
        <v>1632.9983507000004</v>
      </c>
      <c r="FG105" s="285">
        <f t="shared" si="424"/>
        <v>2168.4446321000005</v>
      </c>
      <c r="FH105" s="285">
        <f t="shared" si="424"/>
        <v>2115.9836329</v>
      </c>
      <c r="FI105" s="345">
        <f t="shared" si="424"/>
        <v>2174.3811238</v>
      </c>
      <c r="FJ105" s="285">
        <f>FJ65+FJ67+FJ79+FJ85+FJ95</f>
        <v>1948.0673941000002</v>
      </c>
      <c r="FK105" s="285">
        <f>FK65+FK67+FK79+FK85+FK95</f>
        <v>2112.4695107000002</v>
      </c>
      <c r="FL105" s="285">
        <f>FL65+FL67+FL79+FL85+FL95</f>
        <v>1934.7856904000005</v>
      </c>
      <c r="FM105" s="63"/>
      <c r="FN105" s="306">
        <f aca="true" t="shared" si="425" ref="FN105:FZ105">FN65+FN67+FN79+FN85+FN95</f>
        <v>2503.5</v>
      </c>
      <c r="FO105" s="306">
        <f t="shared" si="425"/>
        <v>3899.1000000000004</v>
      </c>
      <c r="FP105" s="306">
        <f t="shared" si="425"/>
        <v>5257.492676000001</v>
      </c>
      <c r="FQ105" s="306">
        <f t="shared" si="425"/>
        <v>2762.431047</v>
      </c>
      <c r="FR105" s="306">
        <f t="shared" si="425"/>
        <v>4013.5490401999996</v>
      </c>
      <c r="FS105" s="306">
        <f t="shared" si="425"/>
        <v>5255.140739500001</v>
      </c>
      <c r="FT105" s="306">
        <f t="shared" si="425"/>
        <v>2566.8273862999995</v>
      </c>
      <c r="FU105" s="306">
        <f t="shared" si="425"/>
        <v>3883.7800593000006</v>
      </c>
      <c r="FV105" s="306">
        <f t="shared" si="425"/>
        <v>5276.3655808999965</v>
      </c>
      <c r="FW105" s="306">
        <f t="shared" si="425"/>
        <v>2814.9185893000003</v>
      </c>
      <c r="FX105" s="306">
        <f t="shared" si="425"/>
        <v>4408.057168600001</v>
      </c>
      <c r="FY105" s="306">
        <f t="shared" si="425"/>
        <v>6012.203920999999</v>
      </c>
      <c r="FZ105" s="306">
        <f t="shared" si="425"/>
        <v>3517.7182269</v>
      </c>
      <c r="GA105" s="306">
        <f aca="true" t="shared" si="426" ref="GA105:GF105">GA65+GA67+GA79+GA85+GA95</f>
        <v>5274.0640852</v>
      </c>
      <c r="GB105" s="306">
        <f t="shared" si="426"/>
        <v>7019.8389136</v>
      </c>
      <c r="GC105" s="306">
        <f t="shared" si="426"/>
        <v>3511.2906338</v>
      </c>
      <c r="GD105" s="306">
        <f t="shared" si="426"/>
        <v>5228.880720900001</v>
      </c>
      <c r="GE105" s="306">
        <f t="shared" si="426"/>
        <v>7053.1157663</v>
      </c>
      <c r="GF105" s="306">
        <f t="shared" si="426"/>
        <v>3732.2675668999996</v>
      </c>
      <c r="GG105" s="306">
        <f aca="true" t="shared" si="427" ref="GG105:GL105">GG65+GG67+GG79+GG85+GG95</f>
        <v>5608.222404739999</v>
      </c>
      <c r="GH105" s="306">
        <f t="shared" si="427"/>
        <v>7278.60789784</v>
      </c>
      <c r="GI105" s="306">
        <f t="shared" si="427"/>
        <v>3736.0757914999995</v>
      </c>
      <c r="GJ105" s="306">
        <f t="shared" si="427"/>
        <v>5595.2694188000005</v>
      </c>
      <c r="GK105" s="306">
        <f t="shared" si="427"/>
        <v>7519.333704799998</v>
      </c>
      <c r="GL105" s="306">
        <f t="shared" si="427"/>
        <v>4052.5593436999993</v>
      </c>
      <c r="GM105" s="306">
        <f aca="true" t="shared" si="428" ref="GM105:GS105">GM65+GM67+GM79+GM85+GM95</f>
        <v>5930.1118222000005</v>
      </c>
      <c r="GN105" s="306">
        <f t="shared" si="428"/>
        <v>8134.837601199998</v>
      </c>
      <c r="GO105" s="306">
        <f t="shared" si="428"/>
        <v>4045.4752283000007</v>
      </c>
      <c r="GP105" s="306">
        <f t="shared" si="428"/>
        <v>6213.9198604</v>
      </c>
      <c r="GQ105" s="306">
        <f t="shared" si="428"/>
        <v>8329.9034933</v>
      </c>
      <c r="GR105" s="306">
        <f t="shared" si="428"/>
        <v>4122.4485179</v>
      </c>
      <c r="GS105" s="306">
        <f t="shared" si="428"/>
        <v>6234.9180286</v>
      </c>
      <c r="GT105" s="306">
        <f>GT65+GT67+GT79+GT85+GT95</f>
        <v>8169.703719000001</v>
      </c>
    </row>
    <row r="106" spans="1:169" ht="15">
      <c r="A106" s="313"/>
      <c r="B106" s="133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552"/>
      <c r="AV106" s="552"/>
      <c r="AW106" s="552"/>
      <c r="AX106" s="552"/>
      <c r="AY106" s="552"/>
      <c r="AZ106" s="552"/>
      <c r="BA106" s="552"/>
      <c r="BB106" s="552"/>
      <c r="BC106" s="552"/>
      <c r="BD106" s="552"/>
      <c r="BE106" s="552"/>
      <c r="BF106" s="552"/>
      <c r="BG106" s="552"/>
      <c r="BH106" s="552"/>
      <c r="BI106" s="552"/>
      <c r="BJ106" s="552"/>
      <c r="BK106" s="63"/>
      <c r="BL106" s="63"/>
      <c r="BM106" s="63"/>
      <c r="BN106" s="63"/>
      <c r="BO106" s="63"/>
      <c r="BP106" s="63"/>
      <c r="BQ106" s="63"/>
      <c r="BR106" s="63"/>
      <c r="BS106" s="63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5"/>
      <c r="DE106" s="134"/>
      <c r="DF106" s="134"/>
      <c r="DG106" s="134"/>
      <c r="DH106" s="135"/>
      <c r="DI106" s="134"/>
      <c r="DJ106" s="134"/>
      <c r="DK106" s="134"/>
      <c r="DL106" s="135"/>
      <c r="DM106" s="134"/>
      <c r="DN106" s="134"/>
      <c r="DO106" s="134"/>
      <c r="DP106" s="135"/>
      <c r="DQ106" s="134"/>
      <c r="DR106" s="134"/>
      <c r="DS106" s="134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552"/>
      <c r="ET106" s="552"/>
      <c r="EU106" s="552"/>
      <c r="EV106" s="63"/>
      <c r="EW106" s="63"/>
      <c r="EX106" s="552"/>
      <c r="EY106" s="552"/>
      <c r="EZ106" s="63"/>
      <c r="FA106" s="63"/>
      <c r="FB106" s="552"/>
      <c r="FC106" s="552"/>
      <c r="FD106" s="552"/>
      <c r="FE106" s="63"/>
      <c r="FF106" s="552"/>
      <c r="FG106" s="552"/>
      <c r="FH106" s="552"/>
      <c r="FI106" s="63"/>
      <c r="FJ106" s="552"/>
      <c r="FK106" s="552"/>
      <c r="FL106" s="552"/>
      <c r="FM106" s="63"/>
    </row>
    <row r="107" spans="1:202" ht="15.75">
      <c r="A107" s="98" t="s">
        <v>154</v>
      </c>
      <c r="B107" s="98" t="s">
        <v>155</v>
      </c>
      <c r="C107" s="254"/>
      <c r="D107" s="254"/>
      <c r="E107" s="254"/>
      <c r="F107" s="255"/>
      <c r="G107" s="253"/>
      <c r="H107" s="254"/>
      <c r="I107" s="254"/>
      <c r="J107" s="255"/>
      <c r="K107" s="253"/>
      <c r="L107" s="254"/>
      <c r="M107" s="254"/>
      <c r="N107" s="255"/>
      <c r="O107" s="253"/>
      <c r="P107" s="254">
        <f aca="true" t="shared" si="429" ref="P107:U107">P209</f>
        <v>0</v>
      </c>
      <c r="Q107" s="254">
        <f t="shared" si="429"/>
        <v>0</v>
      </c>
      <c r="R107" s="254">
        <f t="shared" si="429"/>
        <v>21.051</v>
      </c>
      <c r="S107" s="253">
        <f t="shared" si="429"/>
        <v>105.24</v>
      </c>
      <c r="T107" s="254">
        <f t="shared" si="429"/>
        <v>160.667</v>
      </c>
      <c r="U107" s="254">
        <f t="shared" si="429"/>
        <v>178.412</v>
      </c>
      <c r="V107" s="254">
        <f aca="true" t="shared" si="430" ref="V107:AF107">V209</f>
        <v>197.306</v>
      </c>
      <c r="W107" s="253">
        <f t="shared" si="430"/>
        <v>214.9</v>
      </c>
      <c r="X107" s="254">
        <f t="shared" si="430"/>
        <v>205.172</v>
      </c>
      <c r="Y107" s="254">
        <f t="shared" si="430"/>
        <v>210.436</v>
      </c>
      <c r="Z107" s="254">
        <f t="shared" si="430"/>
        <v>260.49299999999994</v>
      </c>
      <c r="AA107" s="253">
        <f t="shared" si="430"/>
        <v>270.317</v>
      </c>
      <c r="AB107" s="254">
        <f t="shared" si="430"/>
        <v>286.70799999999997</v>
      </c>
      <c r="AC107" s="254">
        <f t="shared" si="430"/>
        <v>273.85800000000006</v>
      </c>
      <c r="AD107" s="254">
        <f t="shared" si="430"/>
        <v>304.349</v>
      </c>
      <c r="AE107" s="253">
        <f t="shared" si="430"/>
        <v>289.403</v>
      </c>
      <c r="AF107" s="254">
        <f t="shared" si="430"/>
        <v>294.119</v>
      </c>
      <c r="AG107" s="254">
        <f aca="true" t="shared" si="431" ref="AG107:AL107">AG209</f>
        <v>242.495</v>
      </c>
      <c r="AH107" s="269">
        <f t="shared" si="431"/>
        <v>316.41599999999994</v>
      </c>
      <c r="AI107" s="464">
        <f t="shared" si="431"/>
        <v>225.703</v>
      </c>
      <c r="AJ107" s="254">
        <f t="shared" si="431"/>
        <v>318.003</v>
      </c>
      <c r="AK107" s="254">
        <f t="shared" si="431"/>
        <v>326.828</v>
      </c>
      <c r="AL107" s="254">
        <f t="shared" si="431"/>
        <v>296.53200000000015</v>
      </c>
      <c r="AM107" s="253">
        <f aca="true" t="shared" si="432" ref="AM107:AR107">AM209</f>
        <v>311.637</v>
      </c>
      <c r="AN107" s="254">
        <f t="shared" si="432"/>
        <v>307.625</v>
      </c>
      <c r="AO107" s="254">
        <f t="shared" si="432"/>
        <v>288.105</v>
      </c>
      <c r="AP107" s="254">
        <f t="shared" si="432"/>
        <v>306.21199999999993</v>
      </c>
      <c r="AQ107" s="253">
        <f t="shared" si="432"/>
        <v>258.057</v>
      </c>
      <c r="AR107" s="254">
        <f t="shared" si="432"/>
        <v>224.356</v>
      </c>
      <c r="AS107" s="254">
        <f aca="true" t="shared" si="433" ref="AS107:AX107">AS209</f>
        <v>300.308</v>
      </c>
      <c r="AT107" s="254">
        <f t="shared" si="433"/>
        <v>301.77</v>
      </c>
      <c r="AU107" s="464">
        <f t="shared" si="433"/>
        <v>255.53</v>
      </c>
      <c r="AV107" s="254">
        <f t="shared" si="433"/>
        <v>282.549</v>
      </c>
      <c r="AW107" s="254">
        <f t="shared" si="433"/>
        <v>309.98</v>
      </c>
      <c r="AX107" s="269">
        <f t="shared" si="433"/>
        <v>334.35799999999995</v>
      </c>
      <c r="AY107" s="253">
        <f aca="true" t="shared" si="434" ref="AY107:BD107">AY209</f>
        <v>312.92</v>
      </c>
      <c r="AZ107" s="254">
        <f t="shared" si="434"/>
        <v>308.276</v>
      </c>
      <c r="BA107" s="254">
        <f t="shared" si="434"/>
        <v>314.399</v>
      </c>
      <c r="BB107" s="254">
        <f t="shared" si="434"/>
        <v>319.47499999999997</v>
      </c>
      <c r="BC107" s="253">
        <f t="shared" si="434"/>
        <v>294.243</v>
      </c>
      <c r="BD107" s="254">
        <f t="shared" si="434"/>
        <v>272.02799999999996</v>
      </c>
      <c r="BE107" s="254">
        <f aca="true" t="shared" si="435" ref="BE107:BJ107">BE209</f>
        <v>313.874</v>
      </c>
      <c r="BF107" s="254">
        <f t="shared" si="435"/>
        <v>290.2350000000001</v>
      </c>
      <c r="BG107" s="253">
        <f t="shared" si="435"/>
        <v>306.969</v>
      </c>
      <c r="BH107" s="254">
        <f t="shared" si="435"/>
        <v>297.406</v>
      </c>
      <c r="BI107" s="254">
        <f t="shared" si="435"/>
        <v>275.742</v>
      </c>
      <c r="BJ107" s="254">
        <f t="shared" si="435"/>
        <v>284.06200000000007</v>
      </c>
      <c r="BK107" s="62"/>
      <c r="BL107" s="86"/>
      <c r="BM107" s="86"/>
      <c r="BN107" s="86"/>
      <c r="BO107" s="87"/>
      <c r="BP107" s="88"/>
      <c r="BQ107" s="89"/>
      <c r="BR107" s="89"/>
      <c r="BS107" s="90"/>
      <c r="BT107" s="88"/>
      <c r="BU107" s="89"/>
      <c r="BV107" s="89"/>
      <c r="BW107" s="90"/>
      <c r="BX107" s="88"/>
      <c r="BY107" s="89">
        <f>BY209-BY210</f>
        <v>0</v>
      </c>
      <c r="BZ107" s="89">
        <f aca="true" t="shared" si="436" ref="BZ107:CQ107">BZ209-BZ210</f>
        <v>0</v>
      </c>
      <c r="CA107" s="90">
        <f t="shared" si="436"/>
        <v>0</v>
      </c>
      <c r="CB107" s="88">
        <f t="shared" si="436"/>
        <v>0</v>
      </c>
      <c r="CC107" s="89">
        <f t="shared" si="436"/>
        <v>0</v>
      </c>
      <c r="CD107" s="89">
        <f t="shared" si="436"/>
        <v>7.61345</v>
      </c>
      <c r="CE107" s="89">
        <f t="shared" si="436"/>
        <v>3.9000000000000057</v>
      </c>
      <c r="CF107" s="88">
        <f t="shared" si="436"/>
        <v>23.35145</v>
      </c>
      <c r="CG107" s="89">
        <f t="shared" si="436"/>
        <v>14.277749999999997</v>
      </c>
      <c r="CH107" s="89">
        <f t="shared" si="436"/>
        <v>38.890600000000006</v>
      </c>
      <c r="CI107" s="89">
        <f t="shared" si="436"/>
        <v>103.24019999999993</v>
      </c>
      <c r="CJ107" s="88">
        <f t="shared" si="436"/>
        <v>60.77190000000002</v>
      </c>
      <c r="CK107" s="89">
        <f t="shared" si="436"/>
        <v>107.54399999999998</v>
      </c>
      <c r="CL107" s="89">
        <f t="shared" si="436"/>
        <v>91.08976000000001</v>
      </c>
      <c r="CM107" s="404">
        <f t="shared" si="436"/>
        <v>96.57314999999997</v>
      </c>
      <c r="CN107" s="88">
        <f t="shared" si="436"/>
        <v>69.28899999999999</v>
      </c>
      <c r="CO107" s="89">
        <f t="shared" si="436"/>
        <v>111.26950899999997</v>
      </c>
      <c r="CP107" s="89">
        <f t="shared" si="436"/>
        <v>49.82599999999999</v>
      </c>
      <c r="CQ107" s="89">
        <f t="shared" si="436"/>
        <v>109.07500100000004</v>
      </c>
      <c r="CR107" s="470">
        <f aca="true" t="shared" si="437" ref="CR107:CW107">CR209-CR210</f>
        <v>8.121350000000007</v>
      </c>
      <c r="CS107" s="89">
        <f t="shared" si="437"/>
        <v>83.70499999999998</v>
      </c>
      <c r="CT107" s="89">
        <f t="shared" si="437"/>
        <v>84.14365000000012</v>
      </c>
      <c r="CU107" s="89">
        <f t="shared" si="437"/>
        <v>83.54174999999978</v>
      </c>
      <c r="CV107" s="88">
        <f t="shared" si="437"/>
        <v>61.557000000000016</v>
      </c>
      <c r="CW107" s="89">
        <f t="shared" si="437"/>
        <v>91.69504999999998</v>
      </c>
      <c r="CX107" s="89">
        <f aca="true" t="shared" si="438" ref="CX107:DD107">CX209-CX210</f>
        <v>69.16480000000001</v>
      </c>
      <c r="CY107" s="89">
        <f t="shared" si="438"/>
        <v>44.319650000000024</v>
      </c>
      <c r="CZ107" s="88">
        <f t="shared" si="438"/>
        <v>33.043000000000006</v>
      </c>
      <c r="DA107" s="89">
        <f t="shared" si="438"/>
        <v>66.256</v>
      </c>
      <c r="DB107" s="89">
        <f t="shared" si="438"/>
        <v>88.24200000000002</v>
      </c>
      <c r="DC107" s="89">
        <f t="shared" si="438"/>
        <v>99.09225000000004</v>
      </c>
      <c r="DD107" s="88">
        <f t="shared" si="438"/>
        <v>62.69800000000001</v>
      </c>
      <c r="DE107" s="89">
        <f aca="true" t="shared" si="439" ref="DE107:DJ107">DE209-DE210</f>
        <v>60.736999999999966</v>
      </c>
      <c r="DF107" s="89">
        <f t="shared" si="439"/>
        <v>62.072550000000064</v>
      </c>
      <c r="DG107" s="89">
        <f t="shared" si="439"/>
        <v>105.68029999999973</v>
      </c>
      <c r="DH107" s="88">
        <f t="shared" si="439"/>
        <v>68.5668</v>
      </c>
      <c r="DI107" s="89">
        <f t="shared" si="439"/>
        <v>76.17680000000001</v>
      </c>
      <c r="DJ107" s="89">
        <f t="shared" si="439"/>
        <v>82.02420000000001</v>
      </c>
      <c r="DK107" s="89">
        <f aca="true" t="shared" si="440" ref="DK107:DP107">DK209-DK210</f>
        <v>71.95534999999995</v>
      </c>
      <c r="DL107" s="88">
        <f t="shared" si="440"/>
        <v>64.88355000000001</v>
      </c>
      <c r="DM107" s="89">
        <f t="shared" si="440"/>
        <v>42.88334999999995</v>
      </c>
      <c r="DN107" s="89">
        <f t="shared" si="440"/>
        <v>65.8733</v>
      </c>
      <c r="DO107" s="89">
        <f t="shared" si="440"/>
        <v>58.34390000000025</v>
      </c>
      <c r="DP107" s="88">
        <f t="shared" si="440"/>
        <v>58.33530000000002</v>
      </c>
      <c r="DQ107" s="89">
        <f>DQ209-DQ210</f>
        <v>27.364100000000008</v>
      </c>
      <c r="DR107" s="89">
        <f>DR209-DR210</f>
        <v>23.32600000000008</v>
      </c>
      <c r="DS107" s="89">
        <f>DS209-DS210</f>
        <v>19.51879999999977</v>
      </c>
      <c r="DU107" s="109">
        <f>CB107</f>
        <v>0</v>
      </c>
      <c r="DV107" s="109">
        <f>CC107</f>
        <v>0</v>
      </c>
      <c r="DW107" s="109">
        <f>CD107</f>
        <v>7.61345</v>
      </c>
      <c r="DX107" s="340">
        <f>CE107</f>
        <v>3.9000000000000057</v>
      </c>
      <c r="DY107" s="341">
        <f>CF107</f>
        <v>23.35145</v>
      </c>
      <c r="DZ107" s="109">
        <f>FQ107-DY107</f>
        <v>14.277299999999997</v>
      </c>
      <c r="EA107" s="109">
        <f>FR107-FQ107</f>
        <v>38.890600000000006</v>
      </c>
      <c r="EB107" s="340">
        <f>FS107-FR107</f>
        <v>103.24064999999999</v>
      </c>
      <c r="EC107" s="341">
        <f>CJ107</f>
        <v>60.77190000000002</v>
      </c>
      <c r="ED107" s="109">
        <f>FT107-EC107</f>
        <v>107.54438000000005</v>
      </c>
      <c r="EE107" s="109">
        <f>FU107-EC107-ED107</f>
        <v>91.0898600000001</v>
      </c>
      <c r="EF107" s="109">
        <f>FV107-EE107-ED107-EC107</f>
        <v>96.57260099999996</v>
      </c>
      <c r="EG107" s="341">
        <f>CN107</f>
        <v>69.28899999999999</v>
      </c>
      <c r="EH107" s="109">
        <f>FW107-EG107</f>
        <v>111.26991000000021</v>
      </c>
      <c r="EI107" s="109">
        <f>FX107-EH107-EG107</f>
        <v>49.82584999999972</v>
      </c>
      <c r="EJ107" s="109">
        <f>FY107-EI107-EH107-EG107</f>
        <v>109.0746999999999</v>
      </c>
      <c r="EK107" s="420">
        <v>8.121350000000007</v>
      </c>
      <c r="EL107" s="109">
        <f>FZ107-EK107</f>
        <v>83.70469999999989</v>
      </c>
      <c r="EM107" s="109">
        <f>GA107-EL107-EK107</f>
        <v>84.14370000000008</v>
      </c>
      <c r="EN107" s="109">
        <f>GB107-EM107-EL107-EK107</f>
        <v>83.54180000000008</v>
      </c>
      <c r="EO107" s="341">
        <v>61.6241</v>
      </c>
      <c r="EP107" s="109">
        <f>GC107-EO107</f>
        <v>91.67634999999996</v>
      </c>
      <c r="EQ107" s="109">
        <f>GD107-GC107</f>
        <v>65.27145000000007</v>
      </c>
      <c r="ER107" s="109">
        <f>GE107-GD107</f>
        <v>40.40929999999992</v>
      </c>
      <c r="ES107" s="420">
        <v>36.80000000000001</v>
      </c>
      <c r="ET107" s="109">
        <f>GF107-ES107</f>
        <v>66.30000000000001</v>
      </c>
      <c r="EU107" s="109">
        <f>GG107-ET107-ES107</f>
        <v>88.22624999999994</v>
      </c>
      <c r="EV107" s="109">
        <f>GH107-GG107</f>
        <v>98.96390800000006</v>
      </c>
      <c r="EW107" s="341">
        <v>62.69810000000001</v>
      </c>
      <c r="EX107" s="109">
        <f>GI107-EW107</f>
        <v>60.61139799999995</v>
      </c>
      <c r="EY107" s="109">
        <f>GJ107-EX107-EW107</f>
        <v>65.91680999999994</v>
      </c>
      <c r="EZ107" s="109">
        <f>GK107-GJ107</f>
        <v>97.95204000000001</v>
      </c>
      <c r="FA107" s="341">
        <v>72.4511</v>
      </c>
      <c r="FB107" s="109">
        <f>GL107-FA107</f>
        <v>80.06650000000002</v>
      </c>
      <c r="FC107" s="109">
        <f>GM107-GL107</f>
        <v>82.02419999999995</v>
      </c>
      <c r="FD107" s="109">
        <f>GN107-GM107</f>
        <v>71.95534999999995</v>
      </c>
      <c r="FE107" s="341">
        <v>49.288400000000024</v>
      </c>
      <c r="FF107" s="109">
        <f>GO107-FE107</f>
        <v>46.92599999999993</v>
      </c>
      <c r="FG107" s="109">
        <f>GP107-GO107</f>
        <v>65.87330000000009</v>
      </c>
      <c r="FH107" s="109">
        <f>GQ107-GP107</f>
        <v>69.89640000000009</v>
      </c>
      <c r="FI107" s="341">
        <v>58.33530000000002</v>
      </c>
      <c r="FJ107" s="109">
        <f>GR107-FI107</f>
        <v>27.364049999999963</v>
      </c>
      <c r="FK107" s="109">
        <f>GS107-GR107</f>
        <v>19.534350000000018</v>
      </c>
      <c r="FL107" s="109">
        <f>GT107-GS107</f>
        <v>34.86209999999983</v>
      </c>
      <c r="FM107" s="63"/>
      <c r="FN107" s="110">
        <f aca="true" t="shared" si="441" ref="FN107:FW107">FN54</f>
        <v>0</v>
      </c>
      <c r="FO107" s="110">
        <f t="shared" si="441"/>
        <v>7.61345</v>
      </c>
      <c r="FP107" s="110">
        <f t="shared" si="441"/>
        <v>7.61345</v>
      </c>
      <c r="FQ107" s="110">
        <f t="shared" si="441"/>
        <v>37.62875</v>
      </c>
      <c r="FR107" s="110">
        <f t="shared" si="441"/>
        <v>76.51935</v>
      </c>
      <c r="FS107" s="110">
        <f t="shared" si="441"/>
        <v>179.76</v>
      </c>
      <c r="FT107" s="110">
        <f t="shared" si="441"/>
        <v>168.31628000000006</v>
      </c>
      <c r="FU107" s="110">
        <f t="shared" si="441"/>
        <v>259.40614000000016</v>
      </c>
      <c r="FV107" s="110">
        <f t="shared" si="441"/>
        <v>355.9787410000001</v>
      </c>
      <c r="FW107" s="110">
        <f t="shared" si="441"/>
        <v>180.5589100000002</v>
      </c>
      <c r="FX107" s="110">
        <v>230.38475999999991</v>
      </c>
      <c r="FY107" s="110">
        <v>339.4594599999998</v>
      </c>
      <c r="FZ107" s="110">
        <v>91.8260499999999</v>
      </c>
      <c r="GA107" s="110">
        <v>175.96974999999998</v>
      </c>
      <c r="GB107" s="110">
        <v>259.51155000000006</v>
      </c>
      <c r="GC107" s="110">
        <v>153.30044999999996</v>
      </c>
      <c r="GD107" s="110">
        <v>218.57190000000003</v>
      </c>
      <c r="GE107" s="110">
        <v>258.98119999999994</v>
      </c>
      <c r="GF107" s="110">
        <v>103.10000000000002</v>
      </c>
      <c r="GG107" s="110">
        <v>191.32624999999996</v>
      </c>
      <c r="GH107" s="110">
        <v>290.290158</v>
      </c>
      <c r="GI107" s="110">
        <v>123.30949799999996</v>
      </c>
      <c r="GJ107" s="110">
        <v>189.2263079999999</v>
      </c>
      <c r="GK107" s="110">
        <v>287.1783479999999</v>
      </c>
      <c r="GL107" s="110">
        <v>152.51760000000002</v>
      </c>
      <c r="GM107" s="110">
        <v>234.54179999999997</v>
      </c>
      <c r="GN107" s="110">
        <v>306.4971499999999</v>
      </c>
      <c r="GO107" s="110">
        <v>96.21439999999996</v>
      </c>
      <c r="GP107" s="110">
        <v>162.08770000000004</v>
      </c>
      <c r="GQ107" s="110">
        <v>231.98410000000013</v>
      </c>
      <c r="GR107" s="110">
        <v>85.69934999999998</v>
      </c>
      <c r="GS107" s="110">
        <v>105.2337</v>
      </c>
      <c r="GT107" s="110">
        <v>140.09579999999983</v>
      </c>
    </row>
    <row r="108" spans="1:202" ht="15.75">
      <c r="A108" s="100" t="s">
        <v>104</v>
      </c>
      <c r="B108" s="100" t="s">
        <v>93</v>
      </c>
      <c r="C108" s="257"/>
      <c r="D108" s="257"/>
      <c r="E108" s="257"/>
      <c r="F108" s="258"/>
      <c r="G108" s="256"/>
      <c r="H108" s="257"/>
      <c r="I108" s="257"/>
      <c r="J108" s="258"/>
      <c r="K108" s="256"/>
      <c r="L108" s="257"/>
      <c r="M108" s="257"/>
      <c r="N108" s="258"/>
      <c r="O108" s="256"/>
      <c r="P108" s="257">
        <f>BY210</f>
        <v>0</v>
      </c>
      <c r="Q108" s="257">
        <f aca="true" t="shared" si="442" ref="Q108:AV108">BZ210</f>
        <v>0</v>
      </c>
      <c r="R108" s="257">
        <f t="shared" si="442"/>
        <v>21.051</v>
      </c>
      <c r="S108" s="256">
        <f t="shared" si="442"/>
        <v>108.32</v>
      </c>
      <c r="T108" s="257">
        <f t="shared" si="442"/>
        <v>160.408</v>
      </c>
      <c r="U108" s="257">
        <f t="shared" si="442"/>
        <v>167.2912</v>
      </c>
      <c r="V108" s="257">
        <f t="shared" si="442"/>
        <v>193.894</v>
      </c>
      <c r="W108" s="256">
        <f t="shared" si="442"/>
        <v>190.8541</v>
      </c>
      <c r="X108" s="257">
        <f t="shared" si="442"/>
        <v>192.71529</v>
      </c>
      <c r="Y108" s="257">
        <f t="shared" si="442"/>
        <v>176.51271999999997</v>
      </c>
      <c r="Z108" s="257">
        <f t="shared" si="442"/>
        <v>157.52089000000004</v>
      </c>
      <c r="AA108" s="256">
        <f t="shared" si="442"/>
        <v>205.548</v>
      </c>
      <c r="AB108" s="257">
        <f t="shared" si="442"/>
        <v>167.02100000000002</v>
      </c>
      <c r="AC108" s="257">
        <f t="shared" si="442"/>
        <v>199.29239</v>
      </c>
      <c r="AD108" s="257">
        <f t="shared" si="442"/>
        <v>203.0139</v>
      </c>
      <c r="AE108" s="256">
        <f t="shared" si="442"/>
        <v>219.555</v>
      </c>
      <c r="AF108" s="257">
        <f t="shared" si="442"/>
        <v>185.06295</v>
      </c>
      <c r="AG108" s="257">
        <f t="shared" si="442"/>
        <v>187.8962</v>
      </c>
      <c r="AH108" s="268">
        <f t="shared" si="442"/>
        <v>210.7036</v>
      </c>
      <c r="AI108" s="465">
        <f t="shared" si="442"/>
        <v>220.49465</v>
      </c>
      <c r="AJ108" s="257">
        <f t="shared" si="442"/>
        <v>228.293</v>
      </c>
      <c r="AK108" s="257">
        <f t="shared" si="442"/>
        <v>220.34135</v>
      </c>
      <c r="AL108" s="257">
        <f t="shared" si="442"/>
        <v>229.01859999999996</v>
      </c>
      <c r="AM108" s="256">
        <f>CV210</f>
        <v>252.678</v>
      </c>
      <c r="AN108" s="257">
        <f t="shared" si="442"/>
        <v>212.3256</v>
      </c>
      <c r="AO108" s="257">
        <f t="shared" si="442"/>
        <v>228.656</v>
      </c>
      <c r="AP108" s="257">
        <f t="shared" si="442"/>
        <v>256.3434</v>
      </c>
      <c r="AQ108" s="256">
        <f t="shared" si="442"/>
        <v>223.291</v>
      </c>
      <c r="AR108" s="257">
        <f t="shared" si="442"/>
        <v>169.251</v>
      </c>
      <c r="AS108" s="257">
        <f t="shared" si="442"/>
        <v>210.676</v>
      </c>
      <c r="AT108" s="257">
        <f t="shared" si="442"/>
        <v>189.06975000000006</v>
      </c>
      <c r="AU108" s="465">
        <f t="shared" si="442"/>
        <v>208.992</v>
      </c>
      <c r="AV108" s="257">
        <f t="shared" si="442"/>
        <v>223.788</v>
      </c>
      <c r="AW108" s="257">
        <f aca="true" t="shared" si="443" ref="AW108:BI108">DF210</f>
        <v>251.43984999999995</v>
      </c>
      <c r="AX108" s="268">
        <f t="shared" si="443"/>
        <v>215.49845000000025</v>
      </c>
      <c r="AY108" s="256">
        <f t="shared" si="443"/>
        <v>238.1583</v>
      </c>
      <c r="AZ108" s="257">
        <f t="shared" si="443"/>
        <v>239.5722</v>
      </c>
      <c r="BA108" s="570">
        <f t="shared" si="443"/>
        <v>226.26425</v>
      </c>
      <c r="BB108" s="570">
        <f t="shared" si="443"/>
        <v>246.12935000000004</v>
      </c>
      <c r="BC108" s="256">
        <f t="shared" si="443"/>
        <v>226.1146</v>
      </c>
      <c r="BD108" s="257">
        <f t="shared" si="443"/>
        <v>240.54130000000004</v>
      </c>
      <c r="BE108" s="257">
        <f t="shared" si="443"/>
        <v>244.09165</v>
      </c>
      <c r="BF108" s="257">
        <f t="shared" si="443"/>
        <v>220.08030000000002</v>
      </c>
      <c r="BG108" s="256">
        <f t="shared" si="443"/>
        <v>250.38245</v>
      </c>
      <c r="BH108" s="257">
        <f t="shared" si="443"/>
        <v>272.03815</v>
      </c>
      <c r="BI108" s="257">
        <f t="shared" si="443"/>
        <v>268.50584999999995</v>
      </c>
      <c r="BJ108" s="257">
        <f>DS210</f>
        <v>246.19735000000009</v>
      </c>
      <c r="BK108" s="127"/>
      <c r="BL108" s="104"/>
      <c r="BM108" s="104"/>
      <c r="BN108" s="104"/>
      <c r="BO108" s="105"/>
      <c r="BP108" s="106"/>
      <c r="BQ108" s="107"/>
      <c r="BR108" s="107"/>
      <c r="BS108" s="108"/>
      <c r="BT108" s="106"/>
      <c r="BU108" s="107"/>
      <c r="BV108" s="107"/>
      <c r="BW108" s="108"/>
      <c r="BX108" s="106"/>
      <c r="BY108" s="107"/>
      <c r="BZ108" s="107"/>
      <c r="CA108" s="108"/>
      <c r="CB108" s="106"/>
      <c r="CC108" s="107"/>
      <c r="CD108" s="107"/>
      <c r="CE108" s="107"/>
      <c r="CF108" s="106"/>
      <c r="CG108" s="107"/>
      <c r="CH108" s="107"/>
      <c r="CI108" s="107"/>
      <c r="CJ108" s="106"/>
      <c r="CK108" s="107"/>
      <c r="CL108" s="107"/>
      <c r="CM108" s="405"/>
      <c r="CN108" s="106"/>
      <c r="CO108" s="107"/>
      <c r="CP108" s="107"/>
      <c r="CQ108" s="107"/>
      <c r="CR108" s="471"/>
      <c r="CS108" s="107"/>
      <c r="CT108" s="107"/>
      <c r="CU108" s="107"/>
      <c r="CV108" s="106"/>
      <c r="CW108" s="107"/>
      <c r="CX108" s="107"/>
      <c r="CY108" s="107"/>
      <c r="CZ108" s="106"/>
      <c r="DA108" s="107"/>
      <c r="DB108" s="107"/>
      <c r="DC108" s="107"/>
      <c r="DD108" s="106"/>
      <c r="DE108" s="107"/>
      <c r="DF108" s="107"/>
      <c r="DG108" s="107"/>
      <c r="DH108" s="106"/>
      <c r="DI108" s="107"/>
      <c r="DJ108" s="107"/>
      <c r="DK108" s="107"/>
      <c r="DL108" s="106"/>
      <c r="DM108" s="107"/>
      <c r="DN108" s="107"/>
      <c r="DO108" s="107"/>
      <c r="DP108" s="106"/>
      <c r="DQ108" s="107"/>
      <c r="DR108" s="107"/>
      <c r="DS108" s="107"/>
      <c r="DU108" s="109"/>
      <c r="DV108" s="109"/>
      <c r="DW108" s="109"/>
      <c r="DX108" s="340"/>
      <c r="DY108" s="341"/>
      <c r="DZ108" s="109"/>
      <c r="EA108" s="109"/>
      <c r="EB108" s="340"/>
      <c r="EC108" s="341"/>
      <c r="ED108" s="109"/>
      <c r="EE108" s="109"/>
      <c r="EF108" s="109"/>
      <c r="EG108" s="341"/>
      <c r="EH108" s="109"/>
      <c r="EI108" s="109"/>
      <c r="EJ108" s="109"/>
      <c r="EK108" s="420"/>
      <c r="EL108" s="109"/>
      <c r="EM108" s="109"/>
      <c r="EN108" s="109"/>
      <c r="EO108" s="341"/>
      <c r="EP108" s="109"/>
      <c r="EQ108" s="109"/>
      <c r="ER108" s="109"/>
      <c r="ES108" s="420"/>
      <c r="ET108" s="109"/>
      <c r="EU108" s="109"/>
      <c r="EV108" s="109"/>
      <c r="EW108" s="341"/>
      <c r="EX108" s="109"/>
      <c r="EY108" s="109"/>
      <c r="EZ108" s="109"/>
      <c r="FA108" s="341"/>
      <c r="FB108" s="109"/>
      <c r="FC108" s="109"/>
      <c r="FD108" s="109"/>
      <c r="FE108" s="341"/>
      <c r="FF108" s="109"/>
      <c r="FG108" s="109"/>
      <c r="FH108" s="109"/>
      <c r="FI108" s="341"/>
      <c r="FJ108" s="109"/>
      <c r="FK108" s="109"/>
      <c r="FL108" s="109"/>
      <c r="FM108" s="63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  <c r="GK108" s="110"/>
      <c r="GL108" s="110"/>
      <c r="GM108" s="110"/>
      <c r="GN108" s="110"/>
      <c r="GO108" s="110"/>
      <c r="GP108" s="110"/>
      <c r="GQ108" s="110"/>
      <c r="GR108" s="110"/>
      <c r="GS108" s="110"/>
      <c r="GT108" s="110"/>
    </row>
    <row r="109" spans="1:202" ht="31.5">
      <c r="A109" s="290" t="s">
        <v>182</v>
      </c>
      <c r="B109" s="290" t="s">
        <v>185</v>
      </c>
      <c r="C109" s="254"/>
      <c r="D109" s="254"/>
      <c r="E109" s="254"/>
      <c r="F109" s="269"/>
      <c r="G109" s="253"/>
      <c r="H109" s="254"/>
      <c r="I109" s="254"/>
      <c r="J109" s="269"/>
      <c r="K109" s="253"/>
      <c r="L109" s="254"/>
      <c r="M109" s="254"/>
      <c r="N109" s="269"/>
      <c r="O109" s="253"/>
      <c r="P109" s="254">
        <f aca="true" t="shared" si="444" ref="P109:U109">P107-P108</f>
        <v>0</v>
      </c>
      <c r="Q109" s="254">
        <f t="shared" si="444"/>
        <v>0</v>
      </c>
      <c r="R109" s="269">
        <f t="shared" si="444"/>
        <v>0</v>
      </c>
      <c r="S109" s="253">
        <f t="shared" si="444"/>
        <v>-3.0799999999999983</v>
      </c>
      <c r="T109" s="254">
        <f t="shared" si="444"/>
        <v>0.25900000000001455</v>
      </c>
      <c r="U109" s="254">
        <f t="shared" si="444"/>
        <v>11.120800000000003</v>
      </c>
      <c r="V109" s="254">
        <f aca="true" t="shared" si="445" ref="V109:AF109">V107-V108</f>
        <v>3.412000000000006</v>
      </c>
      <c r="W109" s="253">
        <f t="shared" si="445"/>
        <v>24.045900000000017</v>
      </c>
      <c r="X109" s="254">
        <f t="shared" si="445"/>
        <v>12.456709999999987</v>
      </c>
      <c r="Y109" s="254">
        <f t="shared" si="445"/>
        <v>33.923280000000034</v>
      </c>
      <c r="Z109" s="254">
        <f t="shared" si="445"/>
        <v>102.9721099999999</v>
      </c>
      <c r="AA109" s="253">
        <f t="shared" si="445"/>
        <v>64.769</v>
      </c>
      <c r="AB109" s="254">
        <f t="shared" si="445"/>
        <v>119.68699999999995</v>
      </c>
      <c r="AC109" s="254">
        <f t="shared" si="445"/>
        <v>74.56561000000005</v>
      </c>
      <c r="AD109" s="254">
        <f t="shared" si="445"/>
        <v>101.33509999999998</v>
      </c>
      <c r="AE109" s="253">
        <f t="shared" si="445"/>
        <v>69.84800000000001</v>
      </c>
      <c r="AF109" s="254">
        <f t="shared" si="445"/>
        <v>109.05605000000003</v>
      </c>
      <c r="AG109" s="254">
        <f aca="true" t="shared" si="446" ref="AG109:AL109">AG107-AG108</f>
        <v>54.59880000000001</v>
      </c>
      <c r="AH109" s="269">
        <f t="shared" si="446"/>
        <v>105.71239999999995</v>
      </c>
      <c r="AI109" s="464">
        <f t="shared" si="446"/>
        <v>5.208349999999996</v>
      </c>
      <c r="AJ109" s="254">
        <f t="shared" si="446"/>
        <v>89.70999999999998</v>
      </c>
      <c r="AK109" s="254">
        <f t="shared" si="446"/>
        <v>106.48664999999997</v>
      </c>
      <c r="AL109" s="254">
        <f t="shared" si="446"/>
        <v>67.51340000000019</v>
      </c>
      <c r="AM109" s="253">
        <f aca="true" t="shared" si="447" ref="AM109:AR109">AM107-AM108</f>
        <v>58.959</v>
      </c>
      <c r="AN109" s="254">
        <f t="shared" si="447"/>
        <v>95.29939999999999</v>
      </c>
      <c r="AO109" s="254">
        <f t="shared" si="447"/>
        <v>59.44900000000001</v>
      </c>
      <c r="AP109" s="254">
        <f t="shared" si="447"/>
        <v>49.86859999999996</v>
      </c>
      <c r="AQ109" s="253">
        <f t="shared" si="447"/>
        <v>34.76600000000002</v>
      </c>
      <c r="AR109" s="254">
        <f t="shared" si="447"/>
        <v>55.10499999999999</v>
      </c>
      <c r="AS109" s="254">
        <f aca="true" t="shared" si="448" ref="AS109:AX109">AS107-AS108</f>
        <v>89.632</v>
      </c>
      <c r="AT109" s="254">
        <f t="shared" si="448"/>
        <v>112.70024999999993</v>
      </c>
      <c r="AU109" s="464">
        <f t="shared" si="448"/>
        <v>46.53800000000001</v>
      </c>
      <c r="AV109" s="254">
        <f t="shared" si="448"/>
        <v>58.76099999999997</v>
      </c>
      <c r="AW109" s="254">
        <f t="shared" si="448"/>
        <v>58.54015000000007</v>
      </c>
      <c r="AX109" s="269">
        <f t="shared" si="448"/>
        <v>118.8595499999997</v>
      </c>
      <c r="AY109" s="253">
        <f aca="true" t="shared" si="449" ref="AY109:BD109">AY107-AY108</f>
        <v>74.76170000000002</v>
      </c>
      <c r="AZ109" s="254">
        <f t="shared" si="449"/>
        <v>68.7038</v>
      </c>
      <c r="BA109" s="254">
        <f t="shared" si="449"/>
        <v>88.13475</v>
      </c>
      <c r="BB109" s="254">
        <f t="shared" si="449"/>
        <v>73.34564999999992</v>
      </c>
      <c r="BC109" s="253">
        <f t="shared" si="449"/>
        <v>68.1284</v>
      </c>
      <c r="BD109" s="254">
        <f t="shared" si="449"/>
        <v>31.486699999999928</v>
      </c>
      <c r="BE109" s="254">
        <f aca="true" t="shared" si="450" ref="BE109:BJ109">BE107-BE108</f>
        <v>69.78235000000004</v>
      </c>
      <c r="BF109" s="254">
        <f t="shared" si="450"/>
        <v>70.1547000000001</v>
      </c>
      <c r="BG109" s="253">
        <f t="shared" si="450"/>
        <v>56.58654999999999</v>
      </c>
      <c r="BH109" s="254">
        <f t="shared" si="450"/>
        <v>25.367850000000033</v>
      </c>
      <c r="BI109" s="254">
        <f t="shared" si="450"/>
        <v>7.236150000000066</v>
      </c>
      <c r="BJ109" s="254">
        <f t="shared" si="450"/>
        <v>37.86464999999998</v>
      </c>
      <c r="BK109" s="62"/>
      <c r="BL109" s="287"/>
      <c r="BM109" s="287"/>
      <c r="BN109" s="287"/>
      <c r="BO109" s="307"/>
      <c r="BP109" s="308"/>
      <c r="BQ109" s="287"/>
      <c r="BR109" s="287"/>
      <c r="BS109" s="307"/>
      <c r="BT109" s="308"/>
      <c r="BU109" s="287"/>
      <c r="BV109" s="287"/>
      <c r="BW109" s="307"/>
      <c r="BX109" s="308"/>
      <c r="BY109" s="287">
        <f aca="true" t="shared" si="451" ref="BY109:CN109">BY107-BY108</f>
        <v>0</v>
      </c>
      <c r="BZ109" s="287">
        <f t="shared" si="451"/>
        <v>0</v>
      </c>
      <c r="CA109" s="307">
        <f t="shared" si="451"/>
        <v>0</v>
      </c>
      <c r="CB109" s="308">
        <f t="shared" si="451"/>
        <v>0</v>
      </c>
      <c r="CC109" s="287">
        <f t="shared" si="451"/>
        <v>0</v>
      </c>
      <c r="CD109" s="287">
        <f t="shared" si="451"/>
        <v>7.61345</v>
      </c>
      <c r="CE109" s="287">
        <f t="shared" si="451"/>
        <v>3.9000000000000057</v>
      </c>
      <c r="CF109" s="308">
        <f t="shared" si="451"/>
        <v>23.35145</v>
      </c>
      <c r="CG109" s="287">
        <f t="shared" si="451"/>
        <v>14.277749999999997</v>
      </c>
      <c r="CH109" s="287">
        <f t="shared" si="451"/>
        <v>38.890600000000006</v>
      </c>
      <c r="CI109" s="287">
        <f t="shared" si="451"/>
        <v>103.24019999999993</v>
      </c>
      <c r="CJ109" s="308">
        <f t="shared" si="451"/>
        <v>60.77190000000002</v>
      </c>
      <c r="CK109" s="287">
        <f t="shared" si="451"/>
        <v>107.54399999999998</v>
      </c>
      <c r="CL109" s="287">
        <f t="shared" si="451"/>
        <v>91.08976000000001</v>
      </c>
      <c r="CM109" s="307">
        <f t="shared" si="451"/>
        <v>96.57314999999997</v>
      </c>
      <c r="CN109" s="308">
        <f t="shared" si="451"/>
        <v>69.28899999999999</v>
      </c>
      <c r="CO109" s="287">
        <f aca="true" t="shared" si="452" ref="CO109:CT109">CO107-CO108</f>
        <v>111.26950899999997</v>
      </c>
      <c r="CP109" s="287">
        <f t="shared" si="452"/>
        <v>49.82599999999999</v>
      </c>
      <c r="CQ109" s="287">
        <f t="shared" si="452"/>
        <v>109.07500100000004</v>
      </c>
      <c r="CR109" s="474">
        <f t="shared" si="452"/>
        <v>8.121350000000007</v>
      </c>
      <c r="CS109" s="287">
        <f t="shared" si="452"/>
        <v>83.70499999999998</v>
      </c>
      <c r="CT109" s="287">
        <f t="shared" si="452"/>
        <v>84.14365000000012</v>
      </c>
      <c r="CU109" s="287">
        <f aca="true" t="shared" si="453" ref="CU109:CZ109">CU107-CU108</f>
        <v>83.54174999999978</v>
      </c>
      <c r="CV109" s="308">
        <f t="shared" si="453"/>
        <v>61.557000000000016</v>
      </c>
      <c r="CW109" s="287">
        <f t="shared" si="453"/>
        <v>91.69504999999998</v>
      </c>
      <c r="CX109" s="287">
        <f t="shared" si="453"/>
        <v>69.16480000000001</v>
      </c>
      <c r="CY109" s="287">
        <f t="shared" si="453"/>
        <v>44.319650000000024</v>
      </c>
      <c r="CZ109" s="308">
        <f t="shared" si="453"/>
        <v>33.043000000000006</v>
      </c>
      <c r="DA109" s="287">
        <f aca="true" t="shared" si="454" ref="DA109:DF109">DA107-DA108</f>
        <v>66.256</v>
      </c>
      <c r="DB109" s="287">
        <f t="shared" si="454"/>
        <v>88.24200000000002</v>
      </c>
      <c r="DC109" s="287">
        <f t="shared" si="454"/>
        <v>99.09225000000004</v>
      </c>
      <c r="DD109" s="308">
        <f t="shared" si="454"/>
        <v>62.69800000000001</v>
      </c>
      <c r="DE109" s="287">
        <f t="shared" si="454"/>
        <v>60.736999999999966</v>
      </c>
      <c r="DF109" s="287">
        <f t="shared" si="454"/>
        <v>62.072550000000064</v>
      </c>
      <c r="DG109" s="287">
        <f aca="true" t="shared" si="455" ref="DG109:DL109">DG107-DG108</f>
        <v>105.68029999999973</v>
      </c>
      <c r="DH109" s="308">
        <f t="shared" si="455"/>
        <v>68.5668</v>
      </c>
      <c r="DI109" s="287">
        <f t="shared" si="455"/>
        <v>76.17680000000001</v>
      </c>
      <c r="DJ109" s="287">
        <f t="shared" si="455"/>
        <v>82.02420000000001</v>
      </c>
      <c r="DK109" s="287">
        <f t="shared" si="455"/>
        <v>71.95534999999995</v>
      </c>
      <c r="DL109" s="308">
        <f t="shared" si="455"/>
        <v>64.88355000000001</v>
      </c>
      <c r="DM109" s="287">
        <f aca="true" t="shared" si="456" ref="DM109:DR109">DM107-DM108</f>
        <v>42.88334999999995</v>
      </c>
      <c r="DN109" s="287">
        <f t="shared" si="456"/>
        <v>65.8733</v>
      </c>
      <c r="DO109" s="287">
        <f t="shared" si="456"/>
        <v>58.34390000000025</v>
      </c>
      <c r="DP109" s="308">
        <f t="shared" si="456"/>
        <v>58.33530000000002</v>
      </c>
      <c r="DQ109" s="287">
        <f t="shared" si="456"/>
        <v>27.364100000000008</v>
      </c>
      <c r="DR109" s="287">
        <f t="shared" si="456"/>
        <v>23.32600000000008</v>
      </c>
      <c r="DS109" s="287">
        <f>DS107-DS108</f>
        <v>19.51879999999977</v>
      </c>
      <c r="DU109" s="285">
        <f aca="true" t="shared" si="457" ref="DU109:EF109">DU107-DU108</f>
        <v>0</v>
      </c>
      <c r="DV109" s="285">
        <f t="shared" si="457"/>
        <v>0</v>
      </c>
      <c r="DW109" s="285">
        <f t="shared" si="457"/>
        <v>7.61345</v>
      </c>
      <c r="DX109" s="344">
        <f t="shared" si="457"/>
        <v>3.9000000000000057</v>
      </c>
      <c r="DY109" s="345">
        <f t="shared" si="457"/>
        <v>23.35145</v>
      </c>
      <c r="DZ109" s="285">
        <f t="shared" si="457"/>
        <v>14.277299999999997</v>
      </c>
      <c r="EA109" s="285">
        <f t="shared" si="457"/>
        <v>38.890600000000006</v>
      </c>
      <c r="EB109" s="344">
        <f t="shared" si="457"/>
        <v>103.24064999999999</v>
      </c>
      <c r="EC109" s="345">
        <f t="shared" si="457"/>
        <v>60.77190000000002</v>
      </c>
      <c r="ED109" s="285">
        <f t="shared" si="457"/>
        <v>107.54438000000005</v>
      </c>
      <c r="EE109" s="285">
        <f t="shared" si="457"/>
        <v>91.0898600000001</v>
      </c>
      <c r="EF109" s="285">
        <f t="shared" si="457"/>
        <v>96.57260099999996</v>
      </c>
      <c r="EG109" s="345">
        <f aca="true" t="shared" si="458" ref="EG109:EL109">EG107-EG108</f>
        <v>69.28899999999999</v>
      </c>
      <c r="EH109" s="285">
        <f t="shared" si="458"/>
        <v>111.26991000000021</v>
      </c>
      <c r="EI109" s="285">
        <f t="shared" si="458"/>
        <v>49.82584999999972</v>
      </c>
      <c r="EJ109" s="285">
        <f t="shared" si="458"/>
        <v>109.0746999999999</v>
      </c>
      <c r="EK109" s="487">
        <f t="shared" si="458"/>
        <v>8.121350000000007</v>
      </c>
      <c r="EL109" s="285">
        <f t="shared" si="458"/>
        <v>83.70469999999989</v>
      </c>
      <c r="EM109" s="285">
        <f aca="true" t="shared" si="459" ref="EM109:ER109">EM107-EM108</f>
        <v>84.14370000000008</v>
      </c>
      <c r="EN109" s="285">
        <f t="shared" si="459"/>
        <v>83.54180000000008</v>
      </c>
      <c r="EO109" s="345">
        <f t="shared" si="459"/>
        <v>61.6241</v>
      </c>
      <c r="EP109" s="285">
        <f t="shared" si="459"/>
        <v>91.67634999999996</v>
      </c>
      <c r="EQ109" s="285">
        <f t="shared" si="459"/>
        <v>65.27145000000007</v>
      </c>
      <c r="ER109" s="285">
        <f t="shared" si="459"/>
        <v>40.40929999999992</v>
      </c>
      <c r="ES109" s="487">
        <f aca="true" t="shared" si="460" ref="ES109:EX109">ES107-ES108</f>
        <v>36.80000000000001</v>
      </c>
      <c r="ET109" s="285">
        <f t="shared" si="460"/>
        <v>66.30000000000001</v>
      </c>
      <c r="EU109" s="285">
        <f t="shared" si="460"/>
        <v>88.22624999999994</v>
      </c>
      <c r="EV109" s="285">
        <f t="shared" si="460"/>
        <v>98.96390800000006</v>
      </c>
      <c r="EW109" s="345">
        <f t="shared" si="460"/>
        <v>62.69810000000001</v>
      </c>
      <c r="EX109" s="285">
        <f t="shared" si="460"/>
        <v>60.61139799999995</v>
      </c>
      <c r="EY109" s="285">
        <f aca="true" t="shared" si="461" ref="EY109:FD109">EY107-EY108</f>
        <v>65.91680999999994</v>
      </c>
      <c r="EZ109" s="285">
        <f t="shared" si="461"/>
        <v>97.95204000000001</v>
      </c>
      <c r="FA109" s="345">
        <f t="shared" si="461"/>
        <v>72.4511</v>
      </c>
      <c r="FB109" s="285">
        <f t="shared" si="461"/>
        <v>80.06650000000002</v>
      </c>
      <c r="FC109" s="285">
        <f t="shared" si="461"/>
        <v>82.02419999999995</v>
      </c>
      <c r="FD109" s="285">
        <f t="shared" si="461"/>
        <v>71.95534999999995</v>
      </c>
      <c r="FE109" s="345">
        <f aca="true" t="shared" si="462" ref="FE109:FJ109">FE107-FE108</f>
        <v>49.288400000000024</v>
      </c>
      <c r="FF109" s="285">
        <f t="shared" si="462"/>
        <v>46.92599999999993</v>
      </c>
      <c r="FG109" s="285">
        <f t="shared" si="462"/>
        <v>65.87330000000009</v>
      </c>
      <c r="FH109" s="285">
        <f t="shared" si="462"/>
        <v>69.89640000000009</v>
      </c>
      <c r="FI109" s="345">
        <f t="shared" si="462"/>
        <v>58.33530000000002</v>
      </c>
      <c r="FJ109" s="285">
        <f t="shared" si="462"/>
        <v>27.364049999999963</v>
      </c>
      <c r="FK109" s="285">
        <f>FK107-FK108</f>
        <v>19.534350000000018</v>
      </c>
      <c r="FL109" s="285">
        <f>FL107-FL108</f>
        <v>34.86209999999983</v>
      </c>
      <c r="FM109" s="63"/>
      <c r="FN109" s="306">
        <f>FN107</f>
        <v>0</v>
      </c>
      <c r="FO109" s="306">
        <f aca="true" t="shared" si="463" ref="FO109:FU109">FO107</f>
        <v>7.61345</v>
      </c>
      <c r="FP109" s="306">
        <f>FP107</f>
        <v>7.61345</v>
      </c>
      <c r="FQ109" s="306">
        <f t="shared" si="463"/>
        <v>37.62875</v>
      </c>
      <c r="FR109" s="306">
        <f>FR107</f>
        <v>76.51935</v>
      </c>
      <c r="FS109" s="306">
        <f t="shared" si="463"/>
        <v>179.76</v>
      </c>
      <c r="FT109" s="306">
        <f t="shared" si="463"/>
        <v>168.31628000000006</v>
      </c>
      <c r="FU109" s="306">
        <f t="shared" si="463"/>
        <v>259.40614000000016</v>
      </c>
      <c r="FV109" s="306">
        <f aca="true" t="shared" si="464" ref="FV109:GB109">FV107</f>
        <v>355.9787410000001</v>
      </c>
      <c r="FW109" s="306">
        <f t="shared" si="464"/>
        <v>180.5589100000002</v>
      </c>
      <c r="FX109" s="306">
        <f t="shared" si="464"/>
        <v>230.38475999999991</v>
      </c>
      <c r="FY109" s="306">
        <f t="shared" si="464"/>
        <v>339.4594599999998</v>
      </c>
      <c r="FZ109" s="306">
        <f t="shared" si="464"/>
        <v>91.8260499999999</v>
      </c>
      <c r="GA109" s="306">
        <f t="shared" si="464"/>
        <v>175.96974999999998</v>
      </c>
      <c r="GB109" s="306">
        <f t="shared" si="464"/>
        <v>259.51155000000006</v>
      </c>
      <c r="GC109" s="306">
        <f aca="true" t="shared" si="465" ref="GC109:GH109">GC107</f>
        <v>153.30044999999996</v>
      </c>
      <c r="GD109" s="306">
        <f t="shared" si="465"/>
        <v>218.57190000000003</v>
      </c>
      <c r="GE109" s="306">
        <f t="shared" si="465"/>
        <v>258.98119999999994</v>
      </c>
      <c r="GF109" s="306">
        <f t="shared" si="465"/>
        <v>103.10000000000002</v>
      </c>
      <c r="GG109" s="306">
        <f t="shared" si="465"/>
        <v>191.32624999999996</v>
      </c>
      <c r="GH109" s="306">
        <f t="shared" si="465"/>
        <v>290.290158</v>
      </c>
      <c r="GI109" s="306">
        <f aca="true" t="shared" si="466" ref="GI109:GN109">GI107</f>
        <v>123.30949799999996</v>
      </c>
      <c r="GJ109" s="306">
        <f t="shared" si="466"/>
        <v>189.2263079999999</v>
      </c>
      <c r="GK109" s="306">
        <f t="shared" si="466"/>
        <v>287.1783479999999</v>
      </c>
      <c r="GL109" s="306">
        <f t="shared" si="466"/>
        <v>152.51760000000002</v>
      </c>
      <c r="GM109" s="306">
        <f t="shared" si="466"/>
        <v>234.54179999999997</v>
      </c>
      <c r="GN109" s="306">
        <f t="shared" si="466"/>
        <v>306.4971499999999</v>
      </c>
      <c r="GO109" s="306">
        <f>GO107</f>
        <v>96.21439999999996</v>
      </c>
      <c r="GP109" s="306">
        <f>GP107</f>
        <v>162.08770000000004</v>
      </c>
      <c r="GQ109" s="306">
        <f>GQ107</f>
        <v>231.98410000000013</v>
      </c>
      <c r="GR109" s="306">
        <f>GR107</f>
        <v>85.69934999999998</v>
      </c>
      <c r="GS109" s="306">
        <f>GS107</f>
        <v>105.2337</v>
      </c>
      <c r="GT109" s="306">
        <f>GT107</f>
        <v>140.09579999999983</v>
      </c>
    </row>
    <row r="110" spans="1:202" ht="15.75">
      <c r="A110" s="314"/>
      <c r="B110" s="60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M110" s="62"/>
      <c r="N110" s="62"/>
      <c r="O110" s="62"/>
      <c r="P110" s="62"/>
      <c r="Q110" s="62"/>
      <c r="R110" s="62"/>
      <c r="S110" s="378"/>
      <c r="T110" s="378"/>
      <c r="U110" s="378"/>
      <c r="V110" s="378"/>
      <c r="W110" s="62"/>
      <c r="X110" s="62"/>
      <c r="Y110" s="62"/>
      <c r="Z110" s="378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559"/>
      <c r="AV110" s="559"/>
      <c r="AW110" s="559"/>
      <c r="AX110" s="559"/>
      <c r="AY110" s="559"/>
      <c r="AZ110" s="559"/>
      <c r="BA110" s="559"/>
      <c r="BB110" s="559"/>
      <c r="BC110" s="559"/>
      <c r="BD110" s="559"/>
      <c r="BE110" s="559"/>
      <c r="BF110" s="559"/>
      <c r="BG110" s="559"/>
      <c r="BH110" s="559"/>
      <c r="BI110" s="559"/>
      <c r="BJ110" s="559"/>
      <c r="BK110" s="62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558"/>
      <c r="DE110" s="66"/>
      <c r="DF110" s="66"/>
      <c r="DG110" s="66"/>
      <c r="DH110" s="558"/>
      <c r="DI110" s="66"/>
      <c r="DJ110" s="66"/>
      <c r="DK110" s="66"/>
      <c r="DL110" s="558"/>
      <c r="DM110" s="66"/>
      <c r="DN110" s="66"/>
      <c r="DO110" s="66"/>
      <c r="DP110" s="558"/>
      <c r="DQ110" s="66"/>
      <c r="DR110" s="66"/>
      <c r="DS110" s="66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552"/>
      <c r="ET110" s="552"/>
      <c r="EU110" s="552"/>
      <c r="EV110" s="62"/>
      <c r="EW110" s="62"/>
      <c r="EX110" s="552"/>
      <c r="EY110" s="552"/>
      <c r="EZ110" s="62"/>
      <c r="FA110" s="62"/>
      <c r="FB110" s="552"/>
      <c r="FC110" s="552"/>
      <c r="FD110" s="552"/>
      <c r="FE110" s="62"/>
      <c r="FF110" s="552"/>
      <c r="FG110" s="552"/>
      <c r="FH110" s="552"/>
      <c r="FI110" s="62"/>
      <c r="FJ110" s="552"/>
      <c r="FK110" s="552"/>
      <c r="FL110" s="552"/>
      <c r="FM110" s="63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</row>
    <row r="111" spans="1:202" ht="31.5">
      <c r="A111" s="298" t="s">
        <v>189</v>
      </c>
      <c r="B111" s="298" t="s">
        <v>190</v>
      </c>
      <c r="C111" s="310">
        <f aca="true" t="shared" si="467" ref="C111:AL111">C105+C109</f>
        <v>1168.5002691999998</v>
      </c>
      <c r="D111" s="310">
        <f t="shared" si="467"/>
        <v>1143.9350428</v>
      </c>
      <c r="E111" s="310">
        <f t="shared" si="467"/>
        <v>1172.4431421</v>
      </c>
      <c r="F111" s="311">
        <f t="shared" si="467"/>
        <v>1273.5991399</v>
      </c>
      <c r="G111" s="312">
        <f t="shared" si="467"/>
        <v>1144.8992195000003</v>
      </c>
      <c r="H111" s="310">
        <f t="shared" si="467"/>
        <v>1210.8608671</v>
      </c>
      <c r="I111" s="310">
        <f t="shared" si="467"/>
        <v>1072.8391329</v>
      </c>
      <c r="J111" s="311">
        <f t="shared" si="467"/>
        <v>716.0005420000002</v>
      </c>
      <c r="K111" s="312">
        <f t="shared" si="467"/>
        <v>1241.12077</v>
      </c>
      <c r="L111" s="309">
        <f t="shared" si="467"/>
        <v>1228.8328511</v>
      </c>
      <c r="M111" s="309">
        <f t="shared" si="467"/>
        <v>1184.9152232000001</v>
      </c>
      <c r="N111" s="379">
        <f t="shared" si="467"/>
        <v>1272.2386112</v>
      </c>
      <c r="O111" s="347">
        <f t="shared" si="467"/>
        <v>1318.1033117999998</v>
      </c>
      <c r="P111" s="309">
        <f t="shared" si="467"/>
        <v>1254.5825299000003</v>
      </c>
      <c r="Q111" s="309">
        <f t="shared" si="467"/>
        <v>1074.966946</v>
      </c>
      <c r="R111" s="379">
        <f t="shared" si="467"/>
        <v>1244.0802570999997</v>
      </c>
      <c r="S111" s="347">
        <f t="shared" si="467"/>
        <v>1295.4179362</v>
      </c>
      <c r="T111" s="309">
        <f t="shared" si="467"/>
        <v>1288.3126408000003</v>
      </c>
      <c r="U111" s="309">
        <f t="shared" si="467"/>
        <v>1318.6297098999999</v>
      </c>
      <c r="V111" s="309">
        <f t="shared" si="467"/>
        <v>1364.5633957000002</v>
      </c>
      <c r="W111" s="347">
        <f t="shared" si="467"/>
        <v>1380.6732187</v>
      </c>
      <c r="X111" s="309">
        <f t="shared" si="467"/>
        <v>1362.0137822999998</v>
      </c>
      <c r="Y111" s="309">
        <f t="shared" si="467"/>
        <v>1308.6364379999998</v>
      </c>
      <c r="Z111" s="309">
        <f t="shared" si="467"/>
        <v>1345.4695609999999</v>
      </c>
      <c r="AA111" s="347">
        <f t="shared" si="467"/>
        <v>1402.2771374999998</v>
      </c>
      <c r="AB111" s="309">
        <f t="shared" si="467"/>
        <v>1386.3774105999998</v>
      </c>
      <c r="AC111" s="309">
        <f t="shared" si="467"/>
        <v>1366.7086082</v>
      </c>
      <c r="AD111" s="309">
        <f t="shared" si="467"/>
        <v>1523.4080565629959</v>
      </c>
      <c r="AE111" s="347">
        <f t="shared" si="467"/>
        <v>1504.9147552</v>
      </c>
      <c r="AF111" s="309">
        <f t="shared" si="467"/>
        <v>1532.2061639000003</v>
      </c>
      <c r="AG111" s="309">
        <f t="shared" si="467"/>
        <v>1662.9289413999998</v>
      </c>
      <c r="AH111" s="379">
        <f t="shared" si="467"/>
        <v>1788.8414130000006</v>
      </c>
      <c r="AI111" s="421">
        <f t="shared" si="467"/>
        <v>1772.9325233000004</v>
      </c>
      <c r="AJ111" s="309">
        <f t="shared" si="467"/>
        <v>1826.2310371</v>
      </c>
      <c r="AK111" s="309">
        <f t="shared" si="467"/>
        <v>1843.5902629</v>
      </c>
      <c r="AL111" s="309">
        <f t="shared" si="467"/>
        <v>1889.2685007</v>
      </c>
      <c r="AM111" s="347">
        <f aca="true" t="shared" si="468" ref="AM111:AR111">AM105+AM109</f>
        <v>1899.5425736</v>
      </c>
      <c r="AN111" s="309">
        <f t="shared" si="468"/>
        <v>1849.0114354999996</v>
      </c>
      <c r="AO111" s="309">
        <f t="shared" si="468"/>
        <v>1878.9893350000004</v>
      </c>
      <c r="AP111" s="309">
        <f t="shared" si="468"/>
        <v>1886.7349327000002</v>
      </c>
      <c r="AQ111" s="347">
        <f t="shared" si="468"/>
        <v>1936.2128757</v>
      </c>
      <c r="AR111" s="309">
        <f t="shared" si="468"/>
        <v>1866.7882978000011</v>
      </c>
      <c r="AS111" s="309">
        <f aca="true" t="shared" si="469" ref="AS111:AX111">AS105+AS109</f>
        <v>1997.3005061999995</v>
      </c>
      <c r="AT111" s="309">
        <f t="shared" si="469"/>
        <v>1657.7798847999998</v>
      </c>
      <c r="AU111" s="421">
        <f t="shared" si="469"/>
        <v>1948.2764702599998</v>
      </c>
      <c r="AV111" s="309">
        <f t="shared" si="469"/>
        <v>1972.9625948399996</v>
      </c>
      <c r="AW111" s="309">
        <f t="shared" si="469"/>
        <v>2035.7338014</v>
      </c>
      <c r="AX111" s="379">
        <f t="shared" si="469"/>
        <v>2019.0079761999993</v>
      </c>
      <c r="AY111" s="347">
        <f aca="true" t="shared" si="470" ref="AY111:BJ111">AY105+AY109</f>
        <v>2035.2984601036962</v>
      </c>
      <c r="AZ111" s="309">
        <f t="shared" si="470"/>
        <v>2121.2508451999993</v>
      </c>
      <c r="BA111" s="309">
        <f t="shared" si="470"/>
        <v>2158.557428297287</v>
      </c>
      <c r="BB111" s="309">
        <f t="shared" si="470"/>
        <v>2169.8873439990175</v>
      </c>
      <c r="BC111" s="347">
        <f t="shared" si="470"/>
        <v>2173.1185283000004</v>
      </c>
      <c r="BD111" s="309">
        <f t="shared" si="470"/>
        <v>1871.7668377042237</v>
      </c>
      <c r="BE111" s="309">
        <f t="shared" si="470"/>
        <v>2144.9026988916257</v>
      </c>
      <c r="BF111" s="309">
        <f t="shared" si="470"/>
        <v>2151.8860328081214</v>
      </c>
      <c r="BG111" s="347">
        <f t="shared" si="470"/>
        <v>2185.6486984000003</v>
      </c>
      <c r="BH111" s="309">
        <f t="shared" si="470"/>
        <v>2114.62114197</v>
      </c>
      <c r="BI111" s="309">
        <f t="shared" si="470"/>
        <v>1970.3481532</v>
      </c>
      <c r="BJ111" s="309">
        <f t="shared" si="470"/>
        <v>2109.237493995702</v>
      </c>
      <c r="BK111" s="62"/>
      <c r="BL111" s="310">
        <f aca="true" t="shared" si="471" ref="BL111:CY111">BL105+BL109</f>
        <v>1197.7653980999999</v>
      </c>
      <c r="BM111" s="310">
        <f t="shared" si="471"/>
        <v>1139.1804879</v>
      </c>
      <c r="BN111" s="310">
        <f t="shared" si="471"/>
        <v>1160.2124557000002</v>
      </c>
      <c r="BO111" s="311">
        <f t="shared" si="471"/>
        <v>1209.5482407999998</v>
      </c>
      <c r="BP111" s="312">
        <f t="shared" si="471"/>
        <v>1134.6</v>
      </c>
      <c r="BQ111" s="310">
        <f t="shared" si="471"/>
        <v>1203.8437620000002</v>
      </c>
      <c r="BR111" s="310">
        <f t="shared" si="471"/>
        <v>1074.0562380000001</v>
      </c>
      <c r="BS111" s="311">
        <f t="shared" si="471"/>
        <v>1222.6000000000001</v>
      </c>
      <c r="BT111" s="312">
        <f t="shared" si="471"/>
        <v>1264.0885999999998</v>
      </c>
      <c r="BU111" s="310">
        <f t="shared" si="471"/>
        <v>1243.3824705</v>
      </c>
      <c r="BV111" s="310">
        <f t="shared" si="471"/>
        <v>1169.8449295</v>
      </c>
      <c r="BW111" s="311">
        <f t="shared" si="471"/>
        <v>1283.2721539999998</v>
      </c>
      <c r="BX111" s="312">
        <f t="shared" si="471"/>
        <v>1325.821</v>
      </c>
      <c r="BY111" s="310">
        <f t="shared" si="471"/>
        <v>1244.4194878</v>
      </c>
      <c r="BZ111" s="310">
        <f t="shared" si="471"/>
        <v>1062.5595122000002</v>
      </c>
      <c r="CA111" s="311">
        <f t="shared" si="471"/>
        <v>1224.15339168</v>
      </c>
      <c r="CB111" s="312">
        <f t="shared" si="471"/>
        <v>1288.8</v>
      </c>
      <c r="CC111" s="310">
        <f t="shared" si="471"/>
        <v>1272.4445230000001</v>
      </c>
      <c r="CD111" s="310">
        <f t="shared" si="471"/>
        <v>1351.21017946</v>
      </c>
      <c r="CE111" s="310">
        <f t="shared" si="471"/>
        <v>1368.17602854</v>
      </c>
      <c r="CF111" s="312">
        <f t="shared" si="471"/>
        <v>1379.7076471</v>
      </c>
      <c r="CG111" s="310">
        <f t="shared" si="471"/>
        <v>1352.1119268999998</v>
      </c>
      <c r="CH111" s="310">
        <f t="shared" si="471"/>
        <v>1350.500226</v>
      </c>
      <c r="CI111" s="310">
        <f t="shared" si="471"/>
        <v>1338.5401999999997</v>
      </c>
      <c r="CJ111" s="312">
        <f t="shared" si="471"/>
        <v>1397.6448920999999</v>
      </c>
      <c r="CK111" s="310">
        <f t="shared" si="471"/>
        <v>1359.4441531999996</v>
      </c>
      <c r="CL111" s="310">
        <f t="shared" si="471"/>
        <v>1387.7288255000003</v>
      </c>
      <c r="CM111" s="311">
        <f t="shared" si="471"/>
        <v>1514.801768099995</v>
      </c>
      <c r="CN111" s="312">
        <f t="shared" si="471"/>
        <v>1485.7601759000001</v>
      </c>
      <c r="CO111" s="310">
        <f t="shared" si="471"/>
        <v>1547.9816743000001</v>
      </c>
      <c r="CP111" s="310">
        <f t="shared" si="471"/>
        <v>1680.4115704</v>
      </c>
      <c r="CQ111" s="310">
        <f t="shared" si="471"/>
        <v>1779.0927008000003</v>
      </c>
      <c r="CR111" s="475">
        <f t="shared" si="471"/>
        <v>1773.3985157000002</v>
      </c>
      <c r="CS111" s="310">
        <f t="shared" si="471"/>
        <v>1766.8683452</v>
      </c>
      <c r="CT111" s="310">
        <f t="shared" si="471"/>
        <v>1868.0086803000002</v>
      </c>
      <c r="CU111" s="310">
        <f t="shared" si="471"/>
        <v>1855.3831851999998</v>
      </c>
      <c r="CV111" s="312">
        <f t="shared" si="471"/>
        <v>1939.7681704</v>
      </c>
      <c r="CW111" s="310">
        <f t="shared" si="471"/>
        <v>1807.550614</v>
      </c>
      <c r="CX111" s="310">
        <f t="shared" si="471"/>
        <v>1862.8942170999999</v>
      </c>
      <c r="CY111" s="310">
        <f t="shared" si="471"/>
        <v>1932.2602784</v>
      </c>
      <c r="CZ111" s="312">
        <f aca="true" t="shared" si="472" ref="CZ111:DE111">CZ105+CZ109</f>
        <v>1895.6174901000004</v>
      </c>
      <c r="DA111" s="310">
        <f t="shared" si="472"/>
        <v>1904.7927968</v>
      </c>
      <c r="DB111" s="310">
        <f t="shared" si="472"/>
        <v>1968.96999284</v>
      </c>
      <c r="DC111" s="310">
        <f t="shared" si="472"/>
        <v>1694.3488720999994</v>
      </c>
      <c r="DD111" s="312">
        <f t="shared" si="472"/>
        <v>1966.9367814000004</v>
      </c>
      <c r="DE111" s="310">
        <f t="shared" si="472"/>
        <v>1971.9759771000004</v>
      </c>
      <c r="DF111" s="310">
        <f aca="true" t="shared" si="473" ref="DF111:DK111">DF105+DF109</f>
        <v>2027.7250123000001</v>
      </c>
      <c r="DG111" s="310">
        <f t="shared" si="473"/>
        <v>1975.8185950000002</v>
      </c>
      <c r="DH111" s="312">
        <f t="shared" si="473"/>
        <v>2059.1089223</v>
      </c>
      <c r="DI111" s="310">
        <f t="shared" si="473"/>
        <v>2118.2414364</v>
      </c>
      <c r="DJ111" s="310">
        <f t="shared" si="473"/>
        <v>1927.7823701000002</v>
      </c>
      <c r="DK111" s="310">
        <f t="shared" si="473"/>
        <v>2230.5927844</v>
      </c>
      <c r="DL111" s="312">
        <f aca="true" t="shared" si="474" ref="DL111:DQ111">DL105+DL109</f>
        <v>2306.2361336</v>
      </c>
      <c r="DM111" s="310">
        <f t="shared" si="474"/>
        <v>1570.7100387</v>
      </c>
      <c r="DN111" s="310">
        <f t="shared" si="474"/>
        <v>2193.7174371</v>
      </c>
      <c r="DO111" s="310">
        <f t="shared" si="474"/>
        <v>2120.7278719000005</v>
      </c>
      <c r="DP111" s="312">
        <f t="shared" si="474"/>
        <v>2223.7133588</v>
      </c>
      <c r="DQ111" s="310">
        <f t="shared" si="474"/>
        <v>2013.2959303</v>
      </c>
      <c r="DR111" s="310">
        <f>DR105+DR109</f>
        <v>2101.0386552</v>
      </c>
      <c r="DS111" s="310">
        <f>DS105+DS109</f>
        <v>1946.1923313999994</v>
      </c>
      <c r="DU111" s="309">
        <f aca="true" t="shared" si="475" ref="DU111:ES111">DU105+DU109</f>
        <v>1215.1</v>
      </c>
      <c r="DV111" s="309">
        <f t="shared" si="475"/>
        <v>1288.3</v>
      </c>
      <c r="DW111" s="309">
        <f t="shared" si="475"/>
        <v>1403.3134499999999</v>
      </c>
      <c r="DX111" s="346">
        <f t="shared" si="475"/>
        <v>1353.5800000000004</v>
      </c>
      <c r="DY111" s="347">
        <f t="shared" si="475"/>
        <v>1352.8631031000004</v>
      </c>
      <c r="DZ111" s="309">
        <f t="shared" si="475"/>
        <v>1447.1966938999997</v>
      </c>
      <c r="EA111" s="309">
        <f t="shared" si="475"/>
        <v>1290.0085932</v>
      </c>
      <c r="EB111" s="346">
        <f t="shared" si="475"/>
        <v>1344.8323493000003</v>
      </c>
      <c r="EC111" s="347">
        <f t="shared" si="475"/>
        <v>1307.3588841000003</v>
      </c>
      <c r="ED111" s="309">
        <f t="shared" si="475"/>
        <v>1427.7847821999994</v>
      </c>
      <c r="EE111" s="309">
        <f t="shared" si="475"/>
        <v>1408.0425330000005</v>
      </c>
      <c r="EF111" s="309">
        <f t="shared" si="475"/>
        <v>1456.1581225999967</v>
      </c>
      <c r="EG111" s="347">
        <f t="shared" si="475"/>
        <v>1502.3044567000004</v>
      </c>
      <c r="EH111" s="309">
        <f t="shared" si="475"/>
        <v>1493.1730426000004</v>
      </c>
      <c r="EI111" s="309">
        <f t="shared" si="475"/>
        <v>1642.9644293000001</v>
      </c>
      <c r="EJ111" s="309">
        <f t="shared" si="475"/>
        <v>1713.2214523999992</v>
      </c>
      <c r="EK111" s="421">
        <f t="shared" si="475"/>
        <v>1797.5392677</v>
      </c>
      <c r="EL111" s="309">
        <f t="shared" si="475"/>
        <v>1812.0050091999997</v>
      </c>
      <c r="EM111" s="309">
        <f t="shared" si="475"/>
        <v>1840.4895583</v>
      </c>
      <c r="EN111" s="309">
        <f t="shared" si="475"/>
        <v>1829.3166284</v>
      </c>
      <c r="EO111" s="347">
        <f t="shared" si="475"/>
        <v>1856.0650604000002</v>
      </c>
      <c r="EP111" s="309">
        <f t="shared" si="475"/>
        <v>1808.5260233999993</v>
      </c>
      <c r="EQ111" s="309">
        <f t="shared" si="475"/>
        <v>1782.8615371000005</v>
      </c>
      <c r="ER111" s="309">
        <f>ER105+ER109</f>
        <v>1864.6443453999996</v>
      </c>
      <c r="ES111" s="421">
        <f t="shared" si="475"/>
        <v>1801.7863701</v>
      </c>
      <c r="ET111" s="309">
        <f aca="true" t="shared" si="476" ref="ET111:FA111">ET105+ET109</f>
        <v>2033.5811967999996</v>
      </c>
      <c r="EU111" s="309">
        <f t="shared" si="476"/>
        <v>1964.1810878400001</v>
      </c>
      <c r="EV111" s="309">
        <f t="shared" si="476"/>
        <v>1769.3494011000007</v>
      </c>
      <c r="EW111" s="347">
        <f t="shared" si="476"/>
        <v>1994.4925009</v>
      </c>
      <c r="EX111" s="309">
        <f t="shared" si="476"/>
        <v>1864.8927885999997</v>
      </c>
      <c r="EY111" s="309">
        <f t="shared" si="476"/>
        <v>1925.1104373000014</v>
      </c>
      <c r="EZ111" s="309">
        <f>EZ105+EZ109</f>
        <v>2022.0163259999968</v>
      </c>
      <c r="FA111" s="347">
        <f t="shared" si="476"/>
        <v>2108.8896903</v>
      </c>
      <c r="FB111" s="309">
        <f aca="true" t="shared" si="477" ref="FB111:FG111">FB105+FB109</f>
        <v>2096.1872534</v>
      </c>
      <c r="FC111" s="309">
        <f t="shared" si="477"/>
        <v>1959.5766785000005</v>
      </c>
      <c r="FD111" s="309">
        <f t="shared" si="477"/>
        <v>2276.6811289999987</v>
      </c>
      <c r="FE111" s="347">
        <f t="shared" si="477"/>
        <v>2461.7652775999995</v>
      </c>
      <c r="FF111" s="309">
        <f t="shared" si="477"/>
        <v>1679.9243507000003</v>
      </c>
      <c r="FG111" s="309">
        <f t="shared" si="477"/>
        <v>2234.3179321000007</v>
      </c>
      <c r="FH111" s="309">
        <f>FH105+FH109</f>
        <v>2185.8800329</v>
      </c>
      <c r="FI111" s="347">
        <f>FI105+FI109</f>
        <v>2232.7164238</v>
      </c>
      <c r="FJ111" s="309">
        <f>FJ105+FJ109</f>
        <v>1975.4314441000001</v>
      </c>
      <c r="FK111" s="309">
        <f>FK105+FK109</f>
        <v>2132.0038607</v>
      </c>
      <c r="FL111" s="309">
        <f>FL105+FL109</f>
        <v>1969.6477904000003</v>
      </c>
      <c r="FM111" s="63"/>
      <c r="FN111" s="309">
        <f aca="true" t="shared" si="478" ref="FN111:GD111">FN105+FN109</f>
        <v>2503.5</v>
      </c>
      <c r="FO111" s="309">
        <f t="shared" si="478"/>
        <v>3906.71345</v>
      </c>
      <c r="FP111" s="309">
        <f t="shared" si="478"/>
        <v>5265.106126000001</v>
      </c>
      <c r="FQ111" s="309">
        <f t="shared" si="478"/>
        <v>2800.059797</v>
      </c>
      <c r="FR111" s="309">
        <f t="shared" si="478"/>
        <v>4090.0683901999996</v>
      </c>
      <c r="FS111" s="309">
        <f t="shared" si="478"/>
        <v>5434.900739500001</v>
      </c>
      <c r="FT111" s="309">
        <f t="shared" si="478"/>
        <v>2735.1436662999995</v>
      </c>
      <c r="FU111" s="309">
        <f t="shared" si="478"/>
        <v>4143.186199300001</v>
      </c>
      <c r="FV111" s="309">
        <f t="shared" si="478"/>
        <v>5632.344321899996</v>
      </c>
      <c r="FW111" s="309">
        <f t="shared" si="478"/>
        <v>2995.4774993000005</v>
      </c>
      <c r="FX111" s="309">
        <f t="shared" si="478"/>
        <v>4638.441928600001</v>
      </c>
      <c r="FY111" s="309">
        <f t="shared" si="478"/>
        <v>6351.663380999999</v>
      </c>
      <c r="FZ111" s="309">
        <f t="shared" si="478"/>
        <v>3609.5442769</v>
      </c>
      <c r="GA111" s="309">
        <f t="shared" si="478"/>
        <v>5450.0338352</v>
      </c>
      <c r="GB111" s="309">
        <f t="shared" si="478"/>
        <v>7279.3504636</v>
      </c>
      <c r="GC111" s="309">
        <f t="shared" si="478"/>
        <v>3664.5910838</v>
      </c>
      <c r="GD111" s="309">
        <f t="shared" si="478"/>
        <v>5447.4526209000005</v>
      </c>
      <c r="GE111" s="309">
        <f aca="true" t="shared" si="479" ref="GE111:GJ111">GE105+GE109</f>
        <v>7312.0969663000005</v>
      </c>
      <c r="GF111" s="309">
        <f t="shared" si="479"/>
        <v>3835.3675668999995</v>
      </c>
      <c r="GG111" s="309">
        <f t="shared" si="479"/>
        <v>5799.548654739999</v>
      </c>
      <c r="GH111" s="309">
        <f t="shared" si="479"/>
        <v>7568.89805584</v>
      </c>
      <c r="GI111" s="309">
        <f t="shared" si="479"/>
        <v>3859.3852894999995</v>
      </c>
      <c r="GJ111" s="309">
        <f t="shared" si="479"/>
        <v>5784.495726800001</v>
      </c>
      <c r="GK111" s="309">
        <f aca="true" t="shared" si="480" ref="GK111:GP111">GK105+GK109</f>
        <v>7806.512052799997</v>
      </c>
      <c r="GL111" s="309">
        <f t="shared" si="480"/>
        <v>4205.076943699999</v>
      </c>
      <c r="GM111" s="309">
        <f t="shared" si="480"/>
        <v>6164.6536222</v>
      </c>
      <c r="GN111" s="309">
        <f t="shared" si="480"/>
        <v>8441.334751199998</v>
      </c>
      <c r="GO111" s="309">
        <f t="shared" si="480"/>
        <v>4141.689628300001</v>
      </c>
      <c r="GP111" s="309">
        <f t="shared" si="480"/>
        <v>6376.0075604</v>
      </c>
      <c r="GQ111" s="309">
        <f>GQ105+GQ109</f>
        <v>8561.8875933</v>
      </c>
      <c r="GR111" s="309">
        <f>GR105+GR109</f>
        <v>4208.1478679</v>
      </c>
      <c r="GS111" s="309">
        <f>GS105+GS109</f>
        <v>6340.1517286</v>
      </c>
      <c r="GT111" s="309">
        <f>GT105+GT109</f>
        <v>8309.799519</v>
      </c>
    </row>
    <row r="112" spans="1:202" s="635" customFormat="1" ht="15.75">
      <c r="A112" s="117" t="s">
        <v>319</v>
      </c>
      <c r="B112" s="117" t="s">
        <v>320</v>
      </c>
      <c r="C112" s="259">
        <f>MAX(0,C66-C65)</f>
        <v>0</v>
      </c>
      <c r="D112" s="252">
        <f>MAX(0,C66+D66-C65-D65)-C112</f>
        <v>0</v>
      </c>
      <c r="E112" s="252">
        <f>MAX(0,C66+D66+E66-C65-D65-E65)-C112-D112</f>
        <v>0</v>
      </c>
      <c r="F112" s="252">
        <f>MAX(0,C66+D66+E66+F66-C65-D65-E65-F65)-C112-D112-E112</f>
        <v>0</v>
      </c>
      <c r="G112" s="259">
        <f>MAX(0,G66-G65)</f>
        <v>0</v>
      </c>
      <c r="H112" s="252">
        <f>MAX(0,G66+H66-G65-H65)-G112</f>
        <v>0</v>
      </c>
      <c r="I112" s="252">
        <f>MAX(0,G66+H66+I66-G65-H65-I65)-G112-H112</f>
        <v>0</v>
      </c>
      <c r="J112" s="252">
        <f>MAX(0,G66+H66+I66+J66-G65-H65-I65-J65)-G112-H112-I112</f>
        <v>0</v>
      </c>
      <c r="K112" s="259">
        <f>MAX(0,K66-K65)</f>
        <v>0</v>
      </c>
      <c r="L112" s="252">
        <f>MAX(0,K66+L66-K65-L65)-K112</f>
        <v>0</v>
      </c>
      <c r="M112" s="252">
        <f>MAX(0,K66+L66+M66-K65-L65-M65)-K112-L112</f>
        <v>0</v>
      </c>
      <c r="N112" s="252">
        <f>MAX(0,K66+L66+M66+N66-K65-L65-M65-N65)-K112-L112-M112</f>
        <v>0</v>
      </c>
      <c r="O112" s="259">
        <f>MAX(0,O66-O65)</f>
        <v>0</v>
      </c>
      <c r="P112" s="252">
        <f>MAX(0,O66+P66-O65-P65)-O112</f>
        <v>0</v>
      </c>
      <c r="Q112" s="252">
        <f>MAX(0,O66+P66+Q66-O65-P65-Q65)-O112-P112</f>
        <v>0</v>
      </c>
      <c r="R112" s="252">
        <f>MAX(0,O66+P66+Q66+R66-O65-P65-Q65-R65)-O112-P112-Q112</f>
        <v>0</v>
      </c>
      <c r="S112" s="259">
        <f>MAX(0,S66-S65)</f>
        <v>0</v>
      </c>
      <c r="T112" s="252">
        <f>MAX(0,S66+T66-S65-T65)-S112</f>
        <v>0</v>
      </c>
      <c r="U112" s="252">
        <f>MAX(0,S66+T66+U66-S65-T65-U65)-S112-T112</f>
        <v>0</v>
      </c>
      <c r="V112" s="252">
        <f>MAX(0,S66+T66+U66+V66-S65-T65-U65-V65)-S112-T112-U112</f>
        <v>0</v>
      </c>
      <c r="W112" s="259">
        <f>MAX(0,W66-W65)</f>
        <v>0</v>
      </c>
      <c r="X112" s="252">
        <f>MAX(0,W66+X66-W65-X65)-W112</f>
        <v>0</v>
      </c>
      <c r="Y112" s="252">
        <f>MAX(0,W66+X66+Y66-W65-X65-Y65)-W112-X112</f>
        <v>0</v>
      </c>
      <c r="Z112" s="252">
        <f>MAX(0,W66+X66+Y66+Z66-W65-X65-Y65-Z65)-W112-X112-Y112</f>
        <v>0</v>
      </c>
      <c r="AA112" s="259">
        <f>MAX(0,AA66-AA65)</f>
        <v>1.049009999999953</v>
      </c>
      <c r="AB112" s="252">
        <f>MAX(0,AA66+AB66-AA65-AB65)-AA112</f>
        <v>-1.049009999999953</v>
      </c>
      <c r="AC112" s="252">
        <f>MAX(0,AA66+AB66+AC66-AA65-AB65-AC65)-AA112-AB112</f>
        <v>0</v>
      </c>
      <c r="AD112" s="252">
        <f>MAX(0,AA66+AB66+AC66+AD66-AA65-AB65-AC65-AD65)-AA112-AB112-AC112</f>
        <v>0</v>
      </c>
      <c r="AE112" s="259">
        <f>MAX(0,AE66-AE65)</f>
        <v>0</v>
      </c>
      <c r="AF112" s="252">
        <f>MAX(0,AE66+AF66-AE65-AF65)-AE112</f>
        <v>0</v>
      </c>
      <c r="AG112" s="252">
        <f>MAX(0,AE66+AF66+AG66-AE65-AF65-AG65)-AE112-AF112</f>
        <v>0</v>
      </c>
      <c r="AH112" s="252">
        <f>MAX(0,AE66+AF66+AG66+AH66-AE65-AF65-AG65-AH65)-AE112-AF112-AG112</f>
        <v>0</v>
      </c>
      <c r="AI112" s="259">
        <f>MAX(0,AI66-AI65)</f>
        <v>0</v>
      </c>
      <c r="AJ112" s="252">
        <f>MAX(0,AI66+AJ66-AI65-AJ65)-AI112</f>
        <v>0</v>
      </c>
      <c r="AK112" s="252">
        <f>MAX(0,AI66+AJ66+AK66-AI65-AJ65-AK65)-AI112-AJ112</f>
        <v>0</v>
      </c>
      <c r="AL112" s="252">
        <f>MAX(0,AI66+AJ66+AK66+AL66-AI65-AJ65-AK65-AL65)-AI112-AJ112-AK112</f>
        <v>0</v>
      </c>
      <c r="AM112" s="259">
        <f>MAX(0,AM66-AM65)</f>
        <v>0</v>
      </c>
      <c r="AN112" s="252">
        <f>MAX(0,AM66+AN66-AM65-AN65)-AM112</f>
        <v>0</v>
      </c>
      <c r="AO112" s="252">
        <f>MAX(0,AM66+AN66+AO66-AM65-AN65-AO65)-AM112-AN112</f>
        <v>0</v>
      </c>
      <c r="AP112" s="252">
        <f>MAX(0,AM66+AN66+AO66+AP66-AM65-AN65-AO65-AP65)-AM112-AN112-AO112</f>
        <v>0</v>
      </c>
      <c r="AQ112" s="259">
        <f>MAX(0,AQ66-AQ65)</f>
        <v>0</v>
      </c>
      <c r="AR112" s="252">
        <f>MAX(0,AQ66+AR66-AQ65-AR65)-AQ112</f>
        <v>0</v>
      </c>
      <c r="AS112" s="252">
        <f>MAX(0,AQ66+AR66+AS66-AQ65-AR65-AS65)-AQ112-AR112</f>
        <v>0</v>
      </c>
      <c r="AT112" s="252">
        <f>MAX(0,AQ66+AR66+AS66+AT66-AQ65-AR65-AS65-AT65)-AQ112-AR112-AS112</f>
        <v>0</v>
      </c>
      <c r="AU112" s="259">
        <f>MAX(0,AU66-AU65)</f>
        <v>0</v>
      </c>
      <c r="AV112" s="252">
        <f>MAX(0,AU66+AV66-AU65-AV65)-AU112</f>
        <v>0</v>
      </c>
      <c r="AW112" s="252">
        <f>MAX(0,AU66+AV66+AW66-AU65-AV65-AW65)-AU112-AV112</f>
        <v>0</v>
      </c>
      <c r="AX112" s="252">
        <f>MAX(0,AU66+AV66+AW66+AX66-AU65-AV65-AW65-AX65)-AU112-AV112-AW112</f>
        <v>0</v>
      </c>
      <c r="AY112" s="259">
        <f>MAX(0,AY66-AY65)</f>
        <v>0</v>
      </c>
      <c r="AZ112" s="252">
        <f>MAX(0,AY66+AZ66-AY65-AZ65)-AY112</f>
        <v>0</v>
      </c>
      <c r="BA112" s="252">
        <f>MAX(0,AY66+AZ66+BA66-AY65-AZ65-BA65)-AY112-AZ112</f>
        <v>0</v>
      </c>
      <c r="BB112" s="252">
        <f>MAX(0,AY66+AZ66+BA66+BB66-AY65-AZ65-BA65-BB65)-AY112-AZ112-BA112</f>
        <v>0</v>
      </c>
      <c r="BC112" s="259">
        <f>MAX(0,BC66-BC65)</f>
        <v>3.133970999999974</v>
      </c>
      <c r="BD112" s="252">
        <f>MAX(0,BC66+BD66-BC65-BD65)-BC112</f>
        <v>-3.133970999999974</v>
      </c>
      <c r="BE112" s="252">
        <f>MAX(0,BC66+BD66+BE66-BC65-BD65-BE65)-BC112-BD112</f>
        <v>0</v>
      </c>
      <c r="BF112" s="252">
        <f>MAX(0,BC66+BD66+BE66+BF66-BC65-BD65-BE65-BF65)-BC112-BD112-BE112</f>
        <v>0</v>
      </c>
      <c r="BG112" s="259">
        <f>MAX(0,BG66-BG65)</f>
        <v>1.6663999999998396</v>
      </c>
      <c r="BH112" s="252">
        <f>MAX(0,BG66+BH66-BG65-BH65)-BG112</f>
        <v>-1.5406996699997535</v>
      </c>
      <c r="BI112" s="252">
        <f>MAX(0,BG66+BH66+BI66-BG65-BH65-BI65)-BG112-BH112</f>
        <v>-0.12570033000008607</v>
      </c>
      <c r="BJ112" s="252">
        <f>MAX(0,BG66+BH66+BI66+BJ66-BG65-BH65-BI65-BJ65)-BG112-BH112-BI112</f>
        <v>2.1466993300000468</v>
      </c>
      <c r="BK112" s="630"/>
      <c r="BL112" s="629"/>
      <c r="BM112" s="629"/>
      <c r="BN112" s="629"/>
      <c r="BO112" s="629"/>
      <c r="BP112" s="629"/>
      <c r="BQ112" s="629"/>
      <c r="BR112" s="629"/>
      <c r="BS112" s="629"/>
      <c r="BT112" s="629"/>
      <c r="BU112" s="629"/>
      <c r="BV112" s="629"/>
      <c r="BW112" s="629"/>
      <c r="BX112" s="629"/>
      <c r="BY112" s="629"/>
      <c r="BZ112" s="629"/>
      <c r="CA112" s="629"/>
      <c r="CB112" s="629"/>
      <c r="CC112" s="629"/>
      <c r="CD112" s="629"/>
      <c r="CE112" s="629"/>
      <c r="CF112" s="629"/>
      <c r="CG112" s="629"/>
      <c r="CH112" s="629"/>
      <c r="CI112" s="629"/>
      <c r="CJ112" s="629"/>
      <c r="CK112" s="629"/>
      <c r="CL112" s="629"/>
      <c r="CM112" s="629"/>
      <c r="CN112" s="629"/>
      <c r="CO112" s="629"/>
      <c r="CP112" s="629"/>
      <c r="CQ112" s="629"/>
      <c r="CR112" s="629"/>
      <c r="CS112" s="629"/>
      <c r="CT112" s="629"/>
      <c r="CU112" s="629"/>
      <c r="CV112" s="629"/>
      <c r="CW112" s="629"/>
      <c r="CX112" s="629"/>
      <c r="CY112" s="629"/>
      <c r="CZ112" s="629"/>
      <c r="DA112" s="629"/>
      <c r="DB112" s="629"/>
      <c r="DC112" s="629"/>
      <c r="DD112" s="629"/>
      <c r="DE112" s="629"/>
      <c r="DF112" s="629"/>
      <c r="DG112" s="629"/>
      <c r="DH112" s="629"/>
      <c r="DI112" s="629"/>
      <c r="DJ112" s="629"/>
      <c r="DK112" s="629"/>
      <c r="DL112" s="629"/>
      <c r="DM112" s="629"/>
      <c r="DN112" s="629"/>
      <c r="DO112" s="629"/>
      <c r="DP112" s="629"/>
      <c r="DQ112" s="629"/>
      <c r="DR112" s="629"/>
      <c r="DS112" s="629"/>
      <c r="DT112" s="633"/>
      <c r="DU112" s="630"/>
      <c r="DV112" s="630"/>
      <c r="DW112" s="630"/>
      <c r="DX112" s="630"/>
      <c r="DY112" s="630"/>
      <c r="DZ112" s="630"/>
      <c r="EA112" s="630"/>
      <c r="EB112" s="630"/>
      <c r="EC112" s="630"/>
      <c r="ED112" s="630"/>
      <c r="EE112" s="630"/>
      <c r="EF112" s="630"/>
      <c r="EG112" s="630"/>
      <c r="EH112" s="630"/>
      <c r="EI112" s="630"/>
      <c r="EJ112" s="630"/>
      <c r="EK112" s="630"/>
      <c r="EL112" s="630"/>
      <c r="EM112" s="630"/>
      <c r="EN112" s="630"/>
      <c r="EO112" s="630"/>
      <c r="EP112" s="630"/>
      <c r="EQ112" s="630"/>
      <c r="ER112" s="630"/>
      <c r="ES112" s="631"/>
      <c r="ET112" s="631"/>
      <c r="EU112" s="631"/>
      <c r="EV112" s="630"/>
      <c r="EW112" s="630"/>
      <c r="EX112" s="631"/>
      <c r="EY112" s="631"/>
      <c r="EZ112" s="630"/>
      <c r="FA112" s="630"/>
      <c r="FB112" s="631"/>
      <c r="FC112" s="631"/>
      <c r="FD112" s="631"/>
      <c r="FE112" s="630"/>
      <c r="FF112" s="631"/>
      <c r="FG112" s="631"/>
      <c r="FH112" s="631"/>
      <c r="FI112" s="630"/>
      <c r="FJ112" s="631"/>
      <c r="FK112" s="631"/>
      <c r="FL112" s="631"/>
      <c r="FM112" s="634"/>
      <c r="FN112" s="630"/>
      <c r="FO112" s="630"/>
      <c r="FP112" s="630"/>
      <c r="FQ112" s="630"/>
      <c r="FR112" s="630"/>
      <c r="FS112" s="630"/>
      <c r="FT112" s="630"/>
      <c r="FU112" s="630"/>
      <c r="FV112" s="630"/>
      <c r="FW112" s="630"/>
      <c r="FX112" s="630"/>
      <c r="FY112" s="630"/>
      <c r="FZ112" s="630"/>
      <c r="GA112" s="630"/>
      <c r="GB112" s="630"/>
      <c r="GC112" s="630"/>
      <c r="GD112" s="630"/>
      <c r="GE112" s="630"/>
      <c r="GF112" s="630"/>
      <c r="GG112" s="630"/>
      <c r="GH112" s="630"/>
      <c r="GI112" s="630"/>
      <c r="GJ112" s="630"/>
      <c r="GK112" s="630"/>
      <c r="GL112" s="630"/>
      <c r="GM112" s="630"/>
      <c r="GN112" s="630"/>
      <c r="GO112" s="630"/>
      <c r="GP112" s="630"/>
      <c r="GQ112" s="630"/>
      <c r="GR112" s="630"/>
      <c r="GS112" s="630"/>
      <c r="GT112" s="630"/>
    </row>
    <row r="113" spans="1:202" s="635" customFormat="1" ht="31.5">
      <c r="A113" s="298" t="s">
        <v>315</v>
      </c>
      <c r="B113" s="298" t="s">
        <v>314</v>
      </c>
      <c r="C113" s="310">
        <f aca="true" t="shared" si="481" ref="C113:BI113">C111+C112</f>
        <v>1168.5002691999998</v>
      </c>
      <c r="D113" s="310">
        <f t="shared" si="481"/>
        <v>1143.9350428</v>
      </c>
      <c r="E113" s="310">
        <f t="shared" si="481"/>
        <v>1172.4431421</v>
      </c>
      <c r="F113" s="311">
        <f t="shared" si="481"/>
        <v>1273.5991399</v>
      </c>
      <c r="G113" s="312">
        <f t="shared" si="481"/>
        <v>1144.8992195000003</v>
      </c>
      <c r="H113" s="310">
        <f t="shared" si="481"/>
        <v>1210.8608671</v>
      </c>
      <c r="I113" s="310">
        <f t="shared" si="481"/>
        <v>1072.8391329</v>
      </c>
      <c r="J113" s="311">
        <f t="shared" si="481"/>
        <v>716.0005420000002</v>
      </c>
      <c r="K113" s="312">
        <f t="shared" si="481"/>
        <v>1241.12077</v>
      </c>
      <c r="L113" s="309">
        <f t="shared" si="481"/>
        <v>1228.8328511</v>
      </c>
      <c r="M113" s="309">
        <f t="shared" si="481"/>
        <v>1184.9152232000001</v>
      </c>
      <c r="N113" s="379">
        <f t="shared" si="481"/>
        <v>1272.2386112</v>
      </c>
      <c r="O113" s="347">
        <f t="shared" si="481"/>
        <v>1318.1033117999998</v>
      </c>
      <c r="P113" s="309">
        <f t="shared" si="481"/>
        <v>1254.5825299000003</v>
      </c>
      <c r="Q113" s="309">
        <f t="shared" si="481"/>
        <v>1074.966946</v>
      </c>
      <c r="R113" s="379">
        <f t="shared" si="481"/>
        <v>1244.0802570999997</v>
      </c>
      <c r="S113" s="347">
        <f t="shared" si="481"/>
        <v>1295.4179362</v>
      </c>
      <c r="T113" s="309">
        <f t="shared" si="481"/>
        <v>1288.3126408000003</v>
      </c>
      <c r="U113" s="309">
        <f t="shared" si="481"/>
        <v>1318.6297098999999</v>
      </c>
      <c r="V113" s="309">
        <f t="shared" si="481"/>
        <v>1364.5633957000002</v>
      </c>
      <c r="W113" s="347">
        <f t="shared" si="481"/>
        <v>1380.6732187</v>
      </c>
      <c r="X113" s="309">
        <f t="shared" si="481"/>
        <v>1362.0137822999998</v>
      </c>
      <c r="Y113" s="309">
        <f t="shared" si="481"/>
        <v>1308.6364379999998</v>
      </c>
      <c r="Z113" s="309">
        <f t="shared" si="481"/>
        <v>1345.4695609999999</v>
      </c>
      <c r="AA113" s="347">
        <f t="shared" si="481"/>
        <v>1403.3261474999997</v>
      </c>
      <c r="AB113" s="309">
        <f t="shared" si="481"/>
        <v>1385.3284006</v>
      </c>
      <c r="AC113" s="309">
        <f t="shared" si="481"/>
        <v>1366.7086082</v>
      </c>
      <c r="AD113" s="309">
        <f t="shared" si="481"/>
        <v>1523.4080565629959</v>
      </c>
      <c r="AE113" s="347">
        <f t="shared" si="481"/>
        <v>1504.9147552</v>
      </c>
      <c r="AF113" s="309">
        <f t="shared" si="481"/>
        <v>1532.2061639000003</v>
      </c>
      <c r="AG113" s="309">
        <f t="shared" si="481"/>
        <v>1662.9289413999998</v>
      </c>
      <c r="AH113" s="379">
        <f t="shared" si="481"/>
        <v>1788.8414130000006</v>
      </c>
      <c r="AI113" s="421">
        <f t="shared" si="481"/>
        <v>1772.9325233000004</v>
      </c>
      <c r="AJ113" s="309">
        <f t="shared" si="481"/>
        <v>1826.2310371</v>
      </c>
      <c r="AK113" s="309">
        <f t="shared" si="481"/>
        <v>1843.5902629</v>
      </c>
      <c r="AL113" s="309">
        <f t="shared" si="481"/>
        <v>1889.2685007</v>
      </c>
      <c r="AM113" s="347">
        <f t="shared" si="481"/>
        <v>1899.5425736</v>
      </c>
      <c r="AN113" s="309">
        <f t="shared" si="481"/>
        <v>1849.0114354999996</v>
      </c>
      <c r="AO113" s="309">
        <f t="shared" si="481"/>
        <v>1878.9893350000004</v>
      </c>
      <c r="AP113" s="309">
        <f t="shared" si="481"/>
        <v>1886.7349327000002</v>
      </c>
      <c r="AQ113" s="347">
        <f t="shared" si="481"/>
        <v>1936.2128757</v>
      </c>
      <c r="AR113" s="309">
        <f t="shared" si="481"/>
        <v>1866.7882978000011</v>
      </c>
      <c r="AS113" s="309">
        <f t="shared" si="481"/>
        <v>1997.3005061999995</v>
      </c>
      <c r="AT113" s="309">
        <f t="shared" si="481"/>
        <v>1657.7798847999998</v>
      </c>
      <c r="AU113" s="421">
        <f t="shared" si="481"/>
        <v>1948.2764702599998</v>
      </c>
      <c r="AV113" s="309">
        <f t="shared" si="481"/>
        <v>1972.9625948399996</v>
      </c>
      <c r="AW113" s="309">
        <f t="shared" si="481"/>
        <v>2035.7338014</v>
      </c>
      <c r="AX113" s="379">
        <f t="shared" si="481"/>
        <v>2019.0079761999993</v>
      </c>
      <c r="AY113" s="347">
        <f t="shared" si="481"/>
        <v>2035.2984601036962</v>
      </c>
      <c r="AZ113" s="309">
        <f t="shared" si="481"/>
        <v>2121.2508451999993</v>
      </c>
      <c r="BA113" s="309">
        <f t="shared" si="481"/>
        <v>2158.557428297287</v>
      </c>
      <c r="BB113" s="309">
        <f t="shared" si="481"/>
        <v>2169.8873439990175</v>
      </c>
      <c r="BC113" s="347">
        <f t="shared" si="481"/>
        <v>2176.2524993000006</v>
      </c>
      <c r="BD113" s="309">
        <f t="shared" si="481"/>
        <v>1868.6328667042237</v>
      </c>
      <c r="BE113" s="309">
        <f t="shared" si="481"/>
        <v>2144.9026988916257</v>
      </c>
      <c r="BF113" s="309">
        <f t="shared" si="481"/>
        <v>2151.8860328081214</v>
      </c>
      <c r="BG113" s="347">
        <f t="shared" si="481"/>
        <v>2187.3150984000004</v>
      </c>
      <c r="BH113" s="309">
        <f t="shared" si="481"/>
        <v>2113.0804423</v>
      </c>
      <c r="BI113" s="309">
        <f t="shared" si="481"/>
        <v>1970.2224528699999</v>
      </c>
      <c r="BJ113" s="309">
        <f>BJ111+BJ112</f>
        <v>2111.384193325702</v>
      </c>
      <c r="BK113" s="630"/>
      <c r="BL113" s="629"/>
      <c r="BM113" s="629"/>
      <c r="BN113" s="629"/>
      <c r="BO113" s="629"/>
      <c r="BP113" s="629"/>
      <c r="BQ113" s="629"/>
      <c r="BR113" s="629"/>
      <c r="BS113" s="629"/>
      <c r="BT113" s="629"/>
      <c r="BU113" s="629"/>
      <c r="BV113" s="629"/>
      <c r="BW113" s="629"/>
      <c r="BX113" s="629"/>
      <c r="BY113" s="629"/>
      <c r="BZ113" s="629"/>
      <c r="CA113" s="629"/>
      <c r="CB113" s="629"/>
      <c r="CC113" s="629"/>
      <c r="CD113" s="629"/>
      <c r="CE113" s="629"/>
      <c r="CF113" s="629"/>
      <c r="CG113" s="629"/>
      <c r="CH113" s="629"/>
      <c r="CI113" s="629"/>
      <c r="CJ113" s="629"/>
      <c r="CK113" s="629"/>
      <c r="CL113" s="629"/>
      <c r="CM113" s="629"/>
      <c r="CN113" s="629"/>
      <c r="CO113" s="629"/>
      <c r="CP113" s="629"/>
      <c r="CQ113" s="629"/>
      <c r="CR113" s="629"/>
      <c r="CS113" s="629"/>
      <c r="CT113" s="629"/>
      <c r="CU113" s="629"/>
      <c r="CV113" s="629"/>
      <c r="CW113" s="629"/>
      <c r="CX113" s="629"/>
      <c r="CY113" s="629"/>
      <c r="CZ113" s="629"/>
      <c r="DA113" s="629"/>
      <c r="DB113" s="629"/>
      <c r="DC113" s="629"/>
      <c r="DD113" s="629"/>
      <c r="DE113" s="629"/>
      <c r="DF113" s="629"/>
      <c r="DG113" s="629"/>
      <c r="DH113" s="629"/>
      <c r="DI113" s="629"/>
      <c r="DJ113" s="629"/>
      <c r="DK113" s="629"/>
      <c r="DL113" s="629"/>
      <c r="DM113" s="629"/>
      <c r="DN113" s="629"/>
      <c r="DO113" s="629"/>
      <c r="DP113" s="629"/>
      <c r="DQ113" s="629"/>
      <c r="DR113" s="629"/>
      <c r="DS113" s="629"/>
      <c r="DT113" s="633"/>
      <c r="DU113" s="630"/>
      <c r="DV113" s="630"/>
      <c r="DW113" s="630"/>
      <c r="DX113" s="630"/>
      <c r="DY113" s="630"/>
      <c r="DZ113" s="630"/>
      <c r="EA113" s="630"/>
      <c r="EB113" s="630"/>
      <c r="EC113" s="630"/>
      <c r="ED113" s="630"/>
      <c r="EE113" s="630"/>
      <c r="EF113" s="630"/>
      <c r="EG113" s="630"/>
      <c r="EH113" s="630"/>
      <c r="EI113" s="630"/>
      <c r="EJ113" s="630"/>
      <c r="EK113" s="630"/>
      <c r="EL113" s="630"/>
      <c r="EM113" s="630"/>
      <c r="EN113" s="630"/>
      <c r="EO113" s="630"/>
      <c r="EP113" s="630"/>
      <c r="EQ113" s="630"/>
      <c r="ER113" s="630"/>
      <c r="ES113" s="630"/>
      <c r="ET113" s="630"/>
      <c r="EU113" s="630"/>
      <c r="EV113" s="630"/>
      <c r="EW113" s="630"/>
      <c r="EX113" s="630"/>
      <c r="EY113" s="630"/>
      <c r="EZ113" s="630"/>
      <c r="FA113" s="630"/>
      <c r="FB113" s="630"/>
      <c r="FC113" s="630"/>
      <c r="FD113" s="630"/>
      <c r="FE113" s="630"/>
      <c r="FF113" s="630"/>
      <c r="FG113" s="630"/>
      <c r="FH113" s="630"/>
      <c r="FI113" s="630"/>
      <c r="FJ113" s="630"/>
      <c r="FK113" s="630"/>
      <c r="FL113" s="630"/>
      <c r="FM113" s="634"/>
      <c r="FN113" s="630"/>
      <c r="FO113" s="630"/>
      <c r="FP113" s="630"/>
      <c r="FQ113" s="630"/>
      <c r="FR113" s="630"/>
      <c r="FS113" s="630"/>
      <c r="FT113" s="630"/>
      <c r="FU113" s="630"/>
      <c r="FV113" s="630"/>
      <c r="FW113" s="630"/>
      <c r="FX113" s="630"/>
      <c r="FY113" s="630"/>
      <c r="FZ113" s="630"/>
      <c r="GA113" s="630"/>
      <c r="GB113" s="630"/>
      <c r="GC113" s="630"/>
      <c r="GD113" s="630"/>
      <c r="GE113" s="630"/>
      <c r="GF113" s="630"/>
      <c r="GG113" s="630"/>
      <c r="GH113" s="630"/>
      <c r="GI113" s="630"/>
      <c r="GJ113" s="630"/>
      <c r="GK113" s="630"/>
      <c r="GL113" s="630"/>
      <c r="GM113" s="630"/>
      <c r="GN113" s="630"/>
      <c r="GO113" s="630"/>
      <c r="GP113" s="630"/>
      <c r="GQ113" s="630"/>
      <c r="GR113" s="630"/>
      <c r="GS113" s="630"/>
      <c r="GT113" s="630"/>
    </row>
    <row r="114" spans="1:168" ht="15.75">
      <c r="A114" s="132"/>
      <c r="B114" s="132"/>
      <c r="C114" s="136"/>
      <c r="D114" s="137"/>
      <c r="E114" s="137"/>
      <c r="F114" s="137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492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565"/>
      <c r="AV114" s="565"/>
      <c r="AW114" s="565"/>
      <c r="AX114" s="565"/>
      <c r="AY114" s="565"/>
      <c r="AZ114" s="565"/>
      <c r="BA114" s="565"/>
      <c r="BB114" s="565"/>
      <c r="BC114" s="565"/>
      <c r="BD114" s="565"/>
      <c r="BE114" s="565"/>
      <c r="BF114" s="565"/>
      <c r="BG114" s="565"/>
      <c r="BH114" s="565"/>
      <c r="BI114" s="565"/>
      <c r="BJ114" s="565"/>
      <c r="BK114" s="138"/>
      <c r="BL114" s="136"/>
      <c r="BM114" s="137"/>
      <c r="BN114" s="137"/>
      <c r="BO114" s="137"/>
      <c r="DD114" s="13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32"/>
      <c r="ET114" s="632"/>
      <c r="EU114" s="632"/>
      <c r="EV114" s="65"/>
      <c r="EW114" s="65"/>
      <c r="EX114" s="632"/>
      <c r="EY114" s="632"/>
      <c r="EZ114" s="65"/>
      <c r="FA114" s="65"/>
      <c r="FB114" s="632"/>
      <c r="FC114" s="632"/>
      <c r="FD114" s="632"/>
      <c r="FE114" s="65"/>
      <c r="FF114" s="632"/>
      <c r="FG114" s="632"/>
      <c r="FH114" s="632"/>
      <c r="FI114" s="65"/>
      <c r="FJ114" s="632"/>
      <c r="FK114" s="632"/>
      <c r="FL114" s="632"/>
    </row>
    <row r="115" spans="1:168" ht="15.75">
      <c r="A115" s="141" t="s">
        <v>160</v>
      </c>
      <c r="B115" s="141" t="s">
        <v>159</v>
      </c>
      <c r="C115" s="136"/>
      <c r="D115" s="137"/>
      <c r="E115" s="137"/>
      <c r="F115" s="137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560"/>
      <c r="AV115" s="560"/>
      <c r="AW115" s="560"/>
      <c r="AX115" s="565"/>
      <c r="AY115" s="565"/>
      <c r="AZ115" s="560"/>
      <c r="BA115" s="560"/>
      <c r="BB115" s="560"/>
      <c r="BC115" s="565"/>
      <c r="BD115" s="560"/>
      <c r="BE115" s="560"/>
      <c r="BF115" s="560"/>
      <c r="BG115" s="565"/>
      <c r="BH115" s="560"/>
      <c r="BI115" s="565"/>
      <c r="BJ115" s="565"/>
      <c r="BK115" s="138"/>
      <c r="BL115" s="139"/>
      <c r="BM115" s="140"/>
      <c r="BN115" s="140"/>
      <c r="BO115" s="140"/>
      <c r="DD115" s="13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553"/>
      <c r="ET115" s="553"/>
      <c r="EU115" s="553"/>
      <c r="EV115" s="65"/>
      <c r="EW115" s="65"/>
      <c r="EX115" s="553"/>
      <c r="EY115" s="553"/>
      <c r="EZ115" s="65"/>
      <c r="FA115" s="65"/>
      <c r="FB115" s="553"/>
      <c r="FC115" s="553"/>
      <c r="FD115" s="553"/>
      <c r="FE115" s="65"/>
      <c r="FF115" s="553"/>
      <c r="FG115" s="553"/>
      <c r="FH115" s="553"/>
      <c r="FI115" s="65"/>
      <c r="FJ115" s="553"/>
      <c r="FK115" s="553"/>
      <c r="FL115" s="553"/>
    </row>
    <row r="116" spans="1:202" ht="15.75">
      <c r="A116" s="70" t="s">
        <v>184</v>
      </c>
      <c r="B116" s="70" t="s">
        <v>186</v>
      </c>
      <c r="C116" s="254"/>
      <c r="D116" s="254"/>
      <c r="E116" s="254"/>
      <c r="F116" s="255"/>
      <c r="G116" s="253"/>
      <c r="H116" s="254"/>
      <c r="I116" s="254"/>
      <c r="J116" s="255"/>
      <c r="K116" s="253"/>
      <c r="L116" s="254"/>
      <c r="M116" s="254"/>
      <c r="N116" s="255"/>
      <c r="O116" s="253"/>
      <c r="P116" s="254">
        <f aca="true" t="shared" si="482" ref="P116:AH116">P211</f>
        <v>478.008</v>
      </c>
      <c r="Q116" s="254">
        <f t="shared" si="482"/>
        <v>366.123</v>
      </c>
      <c r="R116" s="254">
        <f t="shared" si="482"/>
        <v>394.3860000000001</v>
      </c>
      <c r="S116" s="253">
        <f t="shared" si="482"/>
        <v>767.687</v>
      </c>
      <c r="T116" s="254">
        <f t="shared" si="482"/>
        <v>948.33</v>
      </c>
      <c r="U116" s="254">
        <f t="shared" si="482"/>
        <v>779.112</v>
      </c>
      <c r="V116" s="254">
        <f t="shared" si="482"/>
        <v>667.359</v>
      </c>
      <c r="W116" s="253">
        <f t="shared" si="482"/>
        <v>743.811</v>
      </c>
      <c r="X116" s="254">
        <f t="shared" si="482"/>
        <v>785.9409999999999</v>
      </c>
      <c r="Y116" s="254">
        <f t="shared" si="482"/>
        <v>753.2400000000004</v>
      </c>
      <c r="Z116" s="269">
        <f t="shared" si="482"/>
        <v>850.7399999999999</v>
      </c>
      <c r="AA116" s="253">
        <f t="shared" si="482"/>
        <v>1132.59</v>
      </c>
      <c r="AB116" s="254">
        <f t="shared" si="482"/>
        <v>1468.068</v>
      </c>
      <c r="AC116" s="254">
        <f t="shared" si="482"/>
        <v>1158.798</v>
      </c>
      <c r="AD116" s="254">
        <f t="shared" si="482"/>
        <v>1046.364</v>
      </c>
      <c r="AE116" s="253">
        <f t="shared" si="482"/>
        <v>1213.575</v>
      </c>
      <c r="AF116" s="254">
        <f t="shared" si="482"/>
        <v>1185.804</v>
      </c>
      <c r="AG116" s="254">
        <f t="shared" si="482"/>
        <v>962.625</v>
      </c>
      <c r="AH116" s="269">
        <f t="shared" si="482"/>
        <v>996.9719999999995</v>
      </c>
      <c r="AI116" s="464">
        <f aca="true" t="shared" si="483" ref="AI116:AK117">AI211</f>
        <v>1015.422</v>
      </c>
      <c r="AJ116" s="254">
        <f t="shared" si="483"/>
        <v>1629.192</v>
      </c>
      <c r="AK116" s="254">
        <f t="shared" si="483"/>
        <v>957.393</v>
      </c>
      <c r="AL116" s="254">
        <f aca="true" t="shared" si="484" ref="AL116:AN117">AL211</f>
        <v>903.9929999999999</v>
      </c>
      <c r="AM116" s="253">
        <f t="shared" si="484"/>
        <v>1238.485</v>
      </c>
      <c r="AN116" s="254">
        <f t="shared" si="484"/>
        <v>860.121</v>
      </c>
      <c r="AO116" s="254">
        <f aca="true" t="shared" si="485" ref="AO116:AR117">AO211</f>
        <v>954.186</v>
      </c>
      <c r="AP116" s="254">
        <f t="shared" si="485"/>
        <v>1428.6849999999997</v>
      </c>
      <c r="AQ116" s="253">
        <f t="shared" si="485"/>
        <v>1157.955</v>
      </c>
      <c r="AR116" s="254">
        <f t="shared" si="485"/>
        <v>905.922</v>
      </c>
      <c r="AS116" s="254">
        <f aca="true" t="shared" si="486" ref="AS116:AU117">AS211</f>
        <v>1296.621</v>
      </c>
      <c r="AT116" s="254">
        <f t="shared" si="486"/>
        <v>1340.1600000000003</v>
      </c>
      <c r="AU116" s="464">
        <f t="shared" si="486"/>
        <v>1083.954</v>
      </c>
      <c r="AV116" s="254">
        <f aca="true" t="shared" si="487" ref="AV116:AX117">AV211</f>
        <v>1202.868</v>
      </c>
      <c r="AW116" s="254">
        <f t="shared" si="487"/>
        <v>1679.301</v>
      </c>
      <c r="AX116" s="269">
        <f t="shared" si="487"/>
        <v>1651.251</v>
      </c>
      <c r="AY116" s="253">
        <f aca="true" t="shared" si="488" ref="AY116:BA117">AY211</f>
        <v>1976.951</v>
      </c>
      <c r="AZ116" s="254">
        <f t="shared" si="488"/>
        <v>1559.501</v>
      </c>
      <c r="BA116" s="254">
        <f t="shared" si="488"/>
        <v>1727.373</v>
      </c>
      <c r="BB116" s="254">
        <f aca="true" t="shared" si="489" ref="BB116:BD117">BB211</f>
        <v>1334.174</v>
      </c>
      <c r="BC116" s="253">
        <f t="shared" si="489"/>
        <v>1370.29</v>
      </c>
      <c r="BD116" s="254">
        <f t="shared" si="489"/>
        <v>1483.87</v>
      </c>
      <c r="BE116" s="254">
        <f aca="true" t="shared" si="490" ref="BE116:BH117">BE211</f>
        <v>1128.505</v>
      </c>
      <c r="BF116" s="254">
        <f t="shared" si="490"/>
        <v>1113.0470000000005</v>
      </c>
      <c r="BG116" s="253">
        <f t="shared" si="490"/>
        <v>1171.585</v>
      </c>
      <c r="BH116" s="254">
        <f t="shared" si="490"/>
        <v>1180.172</v>
      </c>
      <c r="BI116" s="254">
        <f>BI211</f>
        <v>1621.588</v>
      </c>
      <c r="BJ116" s="254">
        <f>BJ211</f>
        <v>1480.619</v>
      </c>
      <c r="BK116" s="62"/>
      <c r="BL116" s="86"/>
      <c r="BM116" s="86"/>
      <c r="BN116" s="86"/>
      <c r="BO116" s="87"/>
      <c r="BP116" s="88"/>
      <c r="BQ116" s="89"/>
      <c r="BR116" s="89"/>
      <c r="BS116" s="90"/>
      <c r="BT116" s="88"/>
      <c r="BU116" s="89"/>
      <c r="BV116" s="89"/>
      <c r="BW116" s="90"/>
      <c r="BX116" s="88"/>
      <c r="BY116" s="89">
        <f aca="true" t="shared" si="491" ref="BY116:CQ116">BY211</f>
        <v>0</v>
      </c>
      <c r="BZ116" s="89">
        <f t="shared" si="491"/>
        <v>143.935</v>
      </c>
      <c r="CA116" s="90">
        <f t="shared" si="491"/>
        <v>419.767</v>
      </c>
      <c r="CB116" s="88">
        <f t="shared" si="491"/>
        <v>133.235</v>
      </c>
      <c r="CC116" s="89">
        <f t="shared" si="491"/>
        <v>134.386</v>
      </c>
      <c r="CD116" s="89">
        <f t="shared" si="491"/>
        <v>107.667</v>
      </c>
      <c r="CE116" s="89">
        <f t="shared" si="491"/>
        <v>0</v>
      </c>
      <c r="CF116" s="88">
        <f t="shared" si="491"/>
        <v>0</v>
      </c>
      <c r="CG116" s="89">
        <f t="shared" si="491"/>
        <v>0</v>
      </c>
      <c r="CH116" s="89">
        <f t="shared" si="491"/>
        <v>0</v>
      </c>
      <c r="CI116" s="89">
        <f t="shared" si="491"/>
        <v>0</v>
      </c>
      <c r="CJ116" s="88">
        <f t="shared" si="491"/>
        <v>0</v>
      </c>
      <c r="CK116" s="89">
        <f t="shared" si="491"/>
        <v>42.108</v>
      </c>
      <c r="CL116" s="89">
        <f t="shared" si="491"/>
        <v>14.403000000000006</v>
      </c>
      <c r="CM116" s="404">
        <f t="shared" si="491"/>
        <v>0</v>
      </c>
      <c r="CN116" s="88">
        <f t="shared" si="491"/>
        <v>0</v>
      </c>
      <c r="CO116" s="89">
        <f t="shared" si="491"/>
        <v>0</v>
      </c>
      <c r="CP116" s="89">
        <f t="shared" si="491"/>
        <v>0</v>
      </c>
      <c r="CQ116" s="89">
        <f t="shared" si="491"/>
        <v>0</v>
      </c>
      <c r="CR116" s="470">
        <f aca="true" t="shared" si="492" ref="CR116:CW116">CR211</f>
        <v>0</v>
      </c>
      <c r="CS116" s="89">
        <f t="shared" si="492"/>
        <v>0</v>
      </c>
      <c r="CT116" s="89">
        <f t="shared" si="492"/>
        <v>0</v>
      </c>
      <c r="CU116" s="89">
        <f t="shared" si="492"/>
        <v>0</v>
      </c>
      <c r="CV116" s="88">
        <f t="shared" si="492"/>
        <v>0</v>
      </c>
      <c r="CW116" s="89">
        <f t="shared" si="492"/>
        <v>0</v>
      </c>
      <c r="CX116" s="89">
        <f aca="true" t="shared" si="493" ref="CX116:DC116">CX211</f>
        <v>0</v>
      </c>
      <c r="CY116" s="89">
        <f t="shared" si="493"/>
        <v>0</v>
      </c>
      <c r="CZ116" s="88">
        <f t="shared" si="493"/>
        <v>0</v>
      </c>
      <c r="DA116" s="89">
        <f t="shared" si="493"/>
        <v>0</v>
      </c>
      <c r="DB116" s="89">
        <f t="shared" si="493"/>
        <v>0</v>
      </c>
      <c r="DC116" s="89">
        <f t="shared" si="493"/>
        <v>0</v>
      </c>
      <c r="DD116" s="88">
        <f aca="true" t="shared" si="494" ref="DD116:DI116">DD211</f>
        <v>0</v>
      </c>
      <c r="DE116" s="89">
        <f t="shared" si="494"/>
        <v>0</v>
      </c>
      <c r="DF116" s="89">
        <f t="shared" si="494"/>
        <v>0</v>
      </c>
      <c r="DG116" s="89">
        <f t="shared" si="494"/>
        <v>0</v>
      </c>
      <c r="DH116" s="88">
        <f t="shared" si="494"/>
        <v>0</v>
      </c>
      <c r="DI116" s="89">
        <f t="shared" si="494"/>
        <v>0</v>
      </c>
      <c r="DJ116" s="89">
        <f aca="true" t="shared" si="495" ref="DJ116:DO116">DJ211</f>
        <v>0</v>
      </c>
      <c r="DK116" s="89">
        <f t="shared" si="495"/>
        <v>0</v>
      </c>
      <c r="DL116" s="88">
        <f t="shared" si="495"/>
        <v>0</v>
      </c>
      <c r="DM116" s="89">
        <f t="shared" si="495"/>
        <v>0</v>
      </c>
      <c r="DN116" s="89">
        <f t="shared" si="495"/>
        <v>0</v>
      </c>
      <c r="DO116" s="89">
        <f t="shared" si="495"/>
        <v>0</v>
      </c>
      <c r="DP116" s="88">
        <f>DP211</f>
        <v>0</v>
      </c>
      <c r="DQ116" s="89">
        <f>DQ211</f>
        <v>0</v>
      </c>
      <c r="DR116" s="89">
        <f>DR211</f>
        <v>0</v>
      </c>
      <c r="DS116" s="89">
        <f>DS211</f>
        <v>0</v>
      </c>
      <c r="DU116" s="109">
        <f aca="true" t="shared" si="496" ref="DU116:ER116">CB116</f>
        <v>133.235</v>
      </c>
      <c r="DV116" s="109">
        <f t="shared" si="496"/>
        <v>134.386</v>
      </c>
      <c r="DW116" s="109">
        <f t="shared" si="496"/>
        <v>107.667</v>
      </c>
      <c r="DX116" s="340">
        <f t="shared" si="496"/>
        <v>0</v>
      </c>
      <c r="DY116" s="341">
        <f t="shared" si="496"/>
        <v>0</v>
      </c>
      <c r="DZ116" s="109">
        <f t="shared" si="496"/>
        <v>0</v>
      </c>
      <c r="EA116" s="109">
        <f t="shared" si="496"/>
        <v>0</v>
      </c>
      <c r="EB116" s="340">
        <f t="shared" si="496"/>
        <v>0</v>
      </c>
      <c r="EC116" s="341">
        <f t="shared" si="496"/>
        <v>0</v>
      </c>
      <c r="ED116" s="109">
        <f t="shared" si="496"/>
        <v>42.108</v>
      </c>
      <c r="EE116" s="109">
        <f t="shared" si="496"/>
        <v>14.403000000000006</v>
      </c>
      <c r="EF116" s="109">
        <f t="shared" si="496"/>
        <v>0</v>
      </c>
      <c r="EG116" s="420">
        <f t="shared" si="496"/>
        <v>0</v>
      </c>
      <c r="EH116" s="109">
        <f t="shared" si="496"/>
        <v>0</v>
      </c>
      <c r="EI116" s="109">
        <f t="shared" si="496"/>
        <v>0</v>
      </c>
      <c r="EJ116" s="109">
        <f t="shared" si="496"/>
        <v>0</v>
      </c>
      <c r="EK116" s="420">
        <f t="shared" si="496"/>
        <v>0</v>
      </c>
      <c r="EL116" s="109">
        <f t="shared" si="496"/>
        <v>0</v>
      </c>
      <c r="EM116" s="109">
        <f t="shared" si="496"/>
        <v>0</v>
      </c>
      <c r="EN116" s="109">
        <f t="shared" si="496"/>
        <v>0</v>
      </c>
      <c r="EO116" s="341">
        <f t="shared" si="496"/>
        <v>0</v>
      </c>
      <c r="EP116" s="109">
        <f t="shared" si="496"/>
        <v>0</v>
      </c>
      <c r="EQ116" s="109">
        <f t="shared" si="496"/>
        <v>0</v>
      </c>
      <c r="ER116" s="109">
        <f t="shared" si="496"/>
        <v>0</v>
      </c>
      <c r="ES116" s="420">
        <v>0</v>
      </c>
      <c r="ET116" s="109">
        <v>0</v>
      </c>
      <c r="EU116" s="109">
        <v>0</v>
      </c>
      <c r="EV116" s="109">
        <f>DC116</f>
        <v>0</v>
      </c>
      <c r="EW116" s="341">
        <v>0</v>
      </c>
      <c r="EX116" s="109">
        <v>0</v>
      </c>
      <c r="EY116" s="109">
        <v>0</v>
      </c>
      <c r="EZ116" s="109">
        <f>DG116</f>
        <v>0</v>
      </c>
      <c r="FA116" s="341"/>
      <c r="FB116" s="109">
        <v>0</v>
      </c>
      <c r="FC116" s="109">
        <v>0</v>
      </c>
      <c r="FD116" s="109">
        <v>0</v>
      </c>
      <c r="FE116" s="341">
        <v>0</v>
      </c>
      <c r="FF116" s="109">
        <v>0</v>
      </c>
      <c r="FG116" s="109">
        <v>0</v>
      </c>
      <c r="FH116" s="109">
        <v>0</v>
      </c>
      <c r="FI116" s="341">
        <v>0</v>
      </c>
      <c r="FJ116" s="109">
        <v>0</v>
      </c>
      <c r="FK116" s="109">
        <v>0</v>
      </c>
      <c r="FL116" s="109">
        <v>0</v>
      </c>
      <c r="FM116" s="63"/>
      <c r="FN116" s="110">
        <f>DU116+DV116</f>
        <v>267.621</v>
      </c>
      <c r="FO116" s="110">
        <f>FN116+DW116</f>
        <v>375.288</v>
      </c>
      <c r="FP116" s="110">
        <f>FO116+DX116</f>
        <v>375.288</v>
      </c>
      <c r="FQ116" s="110">
        <f>DY116+DZ116</f>
        <v>0</v>
      </c>
      <c r="FR116" s="110">
        <f>DZ116+EA116</f>
        <v>0</v>
      </c>
      <c r="FS116" s="110">
        <f>EA116+EB116</f>
        <v>0</v>
      </c>
      <c r="FT116" s="110">
        <f>EC116+ED116</f>
        <v>42.108</v>
      </c>
      <c r="FU116" s="110">
        <f>ED116+EE116+EC116</f>
        <v>56.511</v>
      </c>
      <c r="FV116" s="110">
        <f>EE116+EF116+ED116+EC116</f>
        <v>56.511</v>
      </c>
      <c r="FW116" s="110">
        <f>EG116+EH116</f>
        <v>0</v>
      </c>
      <c r="FX116" s="110">
        <f>EG116+EH116+EI116</f>
        <v>0</v>
      </c>
      <c r="FY116" s="110">
        <f>EG116+EH116+EI116+EJ116</f>
        <v>0</v>
      </c>
      <c r="FZ116" s="110">
        <f>EH116+EI116+EJ116+EK116</f>
        <v>0</v>
      </c>
      <c r="GA116" s="110">
        <f>EI116+EJ116+EK116+EL116</f>
        <v>0</v>
      </c>
      <c r="GB116" s="110">
        <f>EK116+EL116+EM116+EN116</f>
        <v>0</v>
      </c>
      <c r="GC116" s="110">
        <f>EO116+EP116</f>
        <v>0</v>
      </c>
      <c r="GD116" s="110">
        <f>EP116+EQ116</f>
        <v>0</v>
      </c>
      <c r="GE116" s="110">
        <f>EQ116+ER116</f>
        <v>0</v>
      </c>
      <c r="GF116" s="110">
        <f>ER116+ES116</f>
        <v>0</v>
      </c>
      <c r="GG116" s="110">
        <f>ES116+ET116</f>
        <v>0</v>
      </c>
      <c r="GH116" s="110">
        <f>ET116+EU116</f>
        <v>0</v>
      </c>
      <c r="GI116" s="110">
        <f>EU116+EV116</f>
        <v>0</v>
      </c>
      <c r="GJ116" s="110">
        <f>EV116+EW116</f>
        <v>0</v>
      </c>
      <c r="GK116" s="110">
        <f>EW116+EX116</f>
        <v>0</v>
      </c>
      <c r="GL116" s="110">
        <f>EX116+EY116</f>
        <v>0</v>
      </c>
      <c r="GM116" s="110">
        <f>EY116+EZ116</f>
        <v>0</v>
      </c>
      <c r="GN116" s="110">
        <f>EZ116+FA116</f>
        <v>0</v>
      </c>
      <c r="GO116" s="110">
        <f>FA116+FB116</f>
        <v>0</v>
      </c>
      <c r="GP116" s="110">
        <f>FB116+FC116</f>
        <v>0</v>
      </c>
      <c r="GQ116" s="110">
        <f>FC116+FD116</f>
        <v>0</v>
      </c>
      <c r="GR116" s="110">
        <f>FI116+FJ116</f>
        <v>0</v>
      </c>
      <c r="GS116" s="110">
        <f>FI116+FJ116+FK116</f>
        <v>0</v>
      </c>
      <c r="GT116" s="110">
        <f>FI116+FJ116+FK116+FL116</f>
        <v>0</v>
      </c>
    </row>
    <row r="117" spans="1:202" ht="15.75">
      <c r="A117" s="100" t="s">
        <v>104</v>
      </c>
      <c r="B117" s="100" t="s">
        <v>161</v>
      </c>
      <c r="C117" s="257"/>
      <c r="D117" s="257"/>
      <c r="E117" s="257"/>
      <c r="F117" s="258"/>
      <c r="G117" s="256"/>
      <c r="H117" s="257"/>
      <c r="I117" s="257"/>
      <c r="J117" s="258"/>
      <c r="K117" s="256"/>
      <c r="L117" s="257"/>
      <c r="M117" s="257"/>
      <c r="N117" s="258"/>
      <c r="O117" s="256"/>
      <c r="P117" s="257">
        <f aca="true" t="shared" si="497" ref="P117:AH117">P212</f>
        <v>0</v>
      </c>
      <c r="Q117" s="257">
        <f t="shared" si="497"/>
        <v>1.08</v>
      </c>
      <c r="R117" s="257">
        <f t="shared" si="497"/>
        <v>130.856</v>
      </c>
      <c r="S117" s="256">
        <f t="shared" si="497"/>
        <v>440.37</v>
      </c>
      <c r="T117" s="257">
        <f t="shared" si="497"/>
        <v>583.703</v>
      </c>
      <c r="U117" s="257">
        <f t="shared" si="497"/>
        <v>620.496</v>
      </c>
      <c r="V117" s="257">
        <f t="shared" si="497"/>
        <v>690.253</v>
      </c>
      <c r="W117" s="256">
        <f t="shared" si="497"/>
        <v>789.965</v>
      </c>
      <c r="X117" s="257">
        <f t="shared" si="497"/>
        <v>704.543</v>
      </c>
      <c r="Y117" s="257">
        <f t="shared" si="497"/>
        <v>717.7859999999997</v>
      </c>
      <c r="Z117" s="268">
        <f t="shared" si="497"/>
        <v>988.3610000000004</v>
      </c>
      <c r="AA117" s="256">
        <f t="shared" si="497"/>
        <v>1032.121</v>
      </c>
      <c r="AB117" s="257">
        <f t="shared" si="497"/>
        <v>1139.523</v>
      </c>
      <c r="AC117" s="257">
        <f t="shared" si="497"/>
        <v>1118.0870000000004</v>
      </c>
      <c r="AD117" s="257">
        <f t="shared" si="497"/>
        <v>1233.242</v>
      </c>
      <c r="AE117" s="256">
        <f t="shared" si="497"/>
        <v>1141.884</v>
      </c>
      <c r="AF117" s="257">
        <f t="shared" si="497"/>
        <v>1149.849</v>
      </c>
      <c r="AG117" s="257">
        <f t="shared" si="497"/>
        <v>935.613</v>
      </c>
      <c r="AH117" s="268">
        <f t="shared" si="497"/>
        <v>1221.9289999999992</v>
      </c>
      <c r="AI117" s="465">
        <f t="shared" si="483"/>
        <v>955.303</v>
      </c>
      <c r="AJ117" s="257">
        <f t="shared" si="483"/>
        <v>1244.323</v>
      </c>
      <c r="AK117" s="257">
        <f t="shared" si="483"/>
        <v>1277.4160000000002</v>
      </c>
      <c r="AL117" s="257">
        <f t="shared" si="484"/>
        <v>1143.2669999999998</v>
      </c>
      <c r="AM117" s="256">
        <f t="shared" si="484"/>
        <v>1185.201</v>
      </c>
      <c r="AN117" s="257">
        <f t="shared" si="484"/>
        <v>1206.234</v>
      </c>
      <c r="AO117" s="257">
        <f t="shared" si="485"/>
        <v>1201.537</v>
      </c>
      <c r="AP117" s="257">
        <f t="shared" si="485"/>
        <v>1316.4329999999995</v>
      </c>
      <c r="AQ117" s="256">
        <f t="shared" si="485"/>
        <v>1176.367</v>
      </c>
      <c r="AR117" s="257">
        <f t="shared" si="485"/>
        <v>1212.223</v>
      </c>
      <c r="AS117" s="257">
        <f t="shared" si="486"/>
        <v>1356.809</v>
      </c>
      <c r="AT117" s="257">
        <f t="shared" si="486"/>
        <v>1282.798</v>
      </c>
      <c r="AU117" s="465">
        <f t="shared" si="486"/>
        <v>1060.319</v>
      </c>
      <c r="AV117" s="257">
        <f t="shared" si="487"/>
        <v>1340.36</v>
      </c>
      <c r="AW117" s="257">
        <f t="shared" si="487"/>
        <v>1378.579</v>
      </c>
      <c r="AX117" s="268">
        <f t="shared" si="487"/>
        <v>1445.9260000000008</v>
      </c>
      <c r="AY117" s="256">
        <f t="shared" si="488"/>
        <v>1419.457</v>
      </c>
      <c r="AZ117" s="257">
        <f t="shared" si="488"/>
        <v>1269.64</v>
      </c>
      <c r="BA117" s="257">
        <f t="shared" si="488"/>
        <v>1334.471</v>
      </c>
      <c r="BB117" s="257">
        <f t="shared" si="489"/>
        <v>1528.896</v>
      </c>
      <c r="BC117" s="256">
        <f t="shared" si="489"/>
        <v>1445.641</v>
      </c>
      <c r="BD117" s="257">
        <f t="shared" si="489"/>
        <v>1333.8339999999998</v>
      </c>
      <c r="BE117" s="257">
        <f t="shared" si="490"/>
        <v>1496.839</v>
      </c>
      <c r="BF117" s="257">
        <f t="shared" si="490"/>
        <v>1426.5659999999998</v>
      </c>
      <c r="BG117" s="256">
        <f t="shared" si="490"/>
        <v>1473.063</v>
      </c>
      <c r="BH117" s="257">
        <f t="shared" si="490"/>
        <v>1445.474</v>
      </c>
      <c r="BI117" s="257">
        <f>BI212</f>
        <v>1285.023</v>
      </c>
      <c r="BJ117" s="257">
        <f>BJ212</f>
        <v>1268.0670000000002</v>
      </c>
      <c r="BK117" s="127"/>
      <c r="BL117" s="104"/>
      <c r="BM117" s="104"/>
      <c r="BN117" s="104"/>
      <c r="BO117" s="105"/>
      <c r="BP117" s="106"/>
      <c r="BQ117" s="107"/>
      <c r="BR117" s="107"/>
      <c r="BS117" s="108"/>
      <c r="BT117" s="106"/>
      <c r="BU117" s="107"/>
      <c r="BV117" s="107"/>
      <c r="BW117" s="108"/>
      <c r="BX117" s="106"/>
      <c r="BY117" s="107"/>
      <c r="BZ117" s="107"/>
      <c r="CA117" s="108"/>
      <c r="CB117" s="106"/>
      <c r="CC117" s="107"/>
      <c r="CD117" s="107"/>
      <c r="CE117" s="107"/>
      <c r="CF117" s="106"/>
      <c r="CG117" s="107"/>
      <c r="CH117" s="107"/>
      <c r="CI117" s="107"/>
      <c r="CJ117" s="106"/>
      <c r="CK117" s="107"/>
      <c r="CL117" s="107"/>
      <c r="CM117" s="405"/>
      <c r="CN117" s="106"/>
      <c r="CO117" s="107"/>
      <c r="CP117" s="107"/>
      <c r="CQ117" s="107"/>
      <c r="CR117" s="471"/>
      <c r="CS117" s="107"/>
      <c r="CT117" s="107"/>
      <c r="CU117" s="107"/>
      <c r="CV117" s="106"/>
      <c r="CW117" s="107"/>
      <c r="CX117" s="107"/>
      <c r="CY117" s="107"/>
      <c r="CZ117" s="106"/>
      <c r="DA117" s="107"/>
      <c r="DB117" s="107"/>
      <c r="DC117" s="107"/>
      <c r="DD117" s="106"/>
      <c r="DE117" s="107"/>
      <c r="DF117" s="107"/>
      <c r="DG117" s="107"/>
      <c r="DH117" s="106"/>
      <c r="DI117" s="107"/>
      <c r="DJ117" s="107"/>
      <c r="DK117" s="107"/>
      <c r="DL117" s="106"/>
      <c r="DM117" s="107"/>
      <c r="DN117" s="107"/>
      <c r="DO117" s="107"/>
      <c r="DP117" s="106"/>
      <c r="DQ117" s="107"/>
      <c r="DR117" s="107"/>
      <c r="DS117" s="107"/>
      <c r="DU117" s="109"/>
      <c r="DV117" s="109"/>
      <c r="DW117" s="109"/>
      <c r="DX117" s="340"/>
      <c r="DY117" s="341"/>
      <c r="DZ117" s="109"/>
      <c r="EA117" s="109"/>
      <c r="EB117" s="340"/>
      <c r="EC117" s="341"/>
      <c r="ED117" s="109"/>
      <c r="EE117" s="109"/>
      <c r="EF117" s="109"/>
      <c r="EG117" s="341"/>
      <c r="EH117" s="109"/>
      <c r="EI117" s="109"/>
      <c r="EJ117" s="109"/>
      <c r="EK117" s="420"/>
      <c r="EL117" s="109"/>
      <c r="EM117" s="109"/>
      <c r="EN117" s="109"/>
      <c r="EO117" s="341"/>
      <c r="EP117" s="109"/>
      <c r="EQ117" s="109"/>
      <c r="ER117" s="109"/>
      <c r="ES117" s="420"/>
      <c r="ET117" s="109"/>
      <c r="EU117" s="109"/>
      <c r="EV117" s="109"/>
      <c r="EW117" s="341"/>
      <c r="EX117" s="109"/>
      <c r="EY117" s="109"/>
      <c r="EZ117" s="109"/>
      <c r="FA117" s="341"/>
      <c r="FB117" s="109"/>
      <c r="FC117" s="109"/>
      <c r="FD117" s="109"/>
      <c r="FE117" s="341"/>
      <c r="FF117" s="109"/>
      <c r="FG117" s="109"/>
      <c r="FH117" s="109"/>
      <c r="FI117" s="341"/>
      <c r="FJ117" s="109"/>
      <c r="FK117" s="109"/>
      <c r="FL117" s="109"/>
      <c r="FM117" s="63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  <c r="GK117" s="110"/>
      <c r="GL117" s="110"/>
      <c r="GM117" s="110"/>
      <c r="GN117" s="110"/>
      <c r="GO117" s="110"/>
      <c r="GP117" s="110"/>
      <c r="GQ117" s="110"/>
      <c r="GR117" s="110"/>
      <c r="GS117" s="110"/>
      <c r="GT117" s="110"/>
    </row>
    <row r="118" spans="1:202" ht="15.75">
      <c r="A118" s="142" t="s">
        <v>163</v>
      </c>
      <c r="B118" s="142" t="s">
        <v>162</v>
      </c>
      <c r="C118" s="252"/>
      <c r="D118" s="252"/>
      <c r="E118" s="252"/>
      <c r="F118" s="260"/>
      <c r="G118" s="259"/>
      <c r="H118" s="252"/>
      <c r="I118" s="252"/>
      <c r="J118" s="260"/>
      <c r="K118" s="259"/>
      <c r="L118" s="252"/>
      <c r="M118" s="252"/>
      <c r="N118" s="260"/>
      <c r="O118" s="259"/>
      <c r="P118" s="252">
        <f aca="true" t="shared" si="498" ref="P118:V118">BY116</f>
        <v>0</v>
      </c>
      <c r="Q118" s="252">
        <f t="shared" si="498"/>
        <v>143.935</v>
      </c>
      <c r="R118" s="252">
        <f t="shared" si="498"/>
        <v>419.767</v>
      </c>
      <c r="S118" s="259">
        <f t="shared" si="498"/>
        <v>133.235</v>
      </c>
      <c r="T118" s="252">
        <f t="shared" si="498"/>
        <v>134.386</v>
      </c>
      <c r="U118" s="252">
        <f t="shared" si="498"/>
        <v>107.667</v>
      </c>
      <c r="V118" s="252">
        <f t="shared" si="498"/>
        <v>0</v>
      </c>
      <c r="W118" s="259">
        <f aca="true" t="shared" si="499" ref="W118:AW118">CF116</f>
        <v>0</v>
      </c>
      <c r="X118" s="252">
        <f t="shared" si="499"/>
        <v>0</v>
      </c>
      <c r="Y118" s="252">
        <f t="shared" si="499"/>
        <v>0</v>
      </c>
      <c r="Z118" s="267">
        <f t="shared" si="499"/>
        <v>0</v>
      </c>
      <c r="AA118" s="259">
        <f t="shared" si="499"/>
        <v>0</v>
      </c>
      <c r="AB118" s="252">
        <f t="shared" si="499"/>
        <v>42.108</v>
      </c>
      <c r="AC118" s="252">
        <f t="shared" si="499"/>
        <v>14.403000000000006</v>
      </c>
      <c r="AD118" s="252">
        <f t="shared" si="499"/>
        <v>0</v>
      </c>
      <c r="AE118" s="259">
        <f t="shared" si="499"/>
        <v>0</v>
      </c>
      <c r="AF118" s="252">
        <f t="shared" si="499"/>
        <v>0</v>
      </c>
      <c r="AG118" s="252">
        <f t="shared" si="499"/>
        <v>0</v>
      </c>
      <c r="AH118" s="267">
        <f t="shared" si="499"/>
        <v>0</v>
      </c>
      <c r="AI118" s="275">
        <f t="shared" si="499"/>
        <v>0</v>
      </c>
      <c r="AJ118" s="252">
        <f t="shared" si="499"/>
        <v>0</v>
      </c>
      <c r="AK118" s="252">
        <f t="shared" si="499"/>
        <v>0</v>
      </c>
      <c r="AL118" s="252">
        <f t="shared" si="499"/>
        <v>0</v>
      </c>
      <c r="AM118" s="259">
        <f>CV116</f>
        <v>0</v>
      </c>
      <c r="AN118" s="252">
        <f t="shared" si="499"/>
        <v>0</v>
      </c>
      <c r="AO118" s="252">
        <f t="shared" si="499"/>
        <v>0</v>
      </c>
      <c r="AP118" s="252">
        <f t="shared" si="499"/>
        <v>0</v>
      </c>
      <c r="AQ118" s="259">
        <f t="shared" si="499"/>
        <v>0</v>
      </c>
      <c r="AR118" s="252">
        <f t="shared" si="499"/>
        <v>0</v>
      </c>
      <c r="AS118" s="252">
        <f t="shared" si="499"/>
        <v>0</v>
      </c>
      <c r="AT118" s="252">
        <f t="shared" si="499"/>
        <v>0</v>
      </c>
      <c r="AU118" s="275">
        <f t="shared" si="499"/>
        <v>0</v>
      </c>
      <c r="AV118" s="252">
        <f t="shared" si="499"/>
        <v>0</v>
      </c>
      <c r="AW118" s="252">
        <f t="shared" si="499"/>
        <v>0</v>
      </c>
      <c r="AX118" s="267">
        <f>DG116</f>
        <v>0</v>
      </c>
      <c r="AY118" s="259">
        <f>DH116</f>
        <v>0</v>
      </c>
      <c r="AZ118" s="252">
        <f>DT116</f>
        <v>0</v>
      </c>
      <c r="BA118" s="252">
        <f aca="true" t="shared" si="500" ref="BA118:BI118">DJ116</f>
        <v>0</v>
      </c>
      <c r="BB118" s="252">
        <f t="shared" si="500"/>
        <v>0</v>
      </c>
      <c r="BC118" s="259">
        <f t="shared" si="500"/>
        <v>0</v>
      </c>
      <c r="BD118" s="252">
        <f t="shared" si="500"/>
        <v>0</v>
      </c>
      <c r="BE118" s="252">
        <f t="shared" si="500"/>
        <v>0</v>
      </c>
      <c r="BF118" s="252">
        <f t="shared" si="500"/>
        <v>0</v>
      </c>
      <c r="BG118" s="259">
        <f t="shared" si="500"/>
        <v>0</v>
      </c>
      <c r="BH118" s="252">
        <f t="shared" si="500"/>
        <v>0</v>
      </c>
      <c r="BI118" s="252">
        <f t="shared" si="500"/>
        <v>0</v>
      </c>
      <c r="BJ118" s="252">
        <f>DS116</f>
        <v>0</v>
      </c>
      <c r="BK118" s="63"/>
      <c r="BL118" s="86"/>
      <c r="BM118" s="86"/>
      <c r="BN118" s="86"/>
      <c r="BO118" s="87"/>
      <c r="BP118" s="88"/>
      <c r="BQ118" s="89"/>
      <c r="BR118" s="89"/>
      <c r="BS118" s="90"/>
      <c r="BT118" s="88"/>
      <c r="BU118" s="89"/>
      <c r="BV118" s="89"/>
      <c r="BW118" s="90"/>
      <c r="BX118" s="88"/>
      <c r="BY118" s="89"/>
      <c r="BZ118" s="89"/>
      <c r="CA118" s="90"/>
      <c r="CB118" s="88"/>
      <c r="CC118" s="89"/>
      <c r="CD118" s="89"/>
      <c r="CE118" s="89"/>
      <c r="CF118" s="88"/>
      <c r="CG118" s="89"/>
      <c r="CH118" s="89"/>
      <c r="CI118" s="89"/>
      <c r="CJ118" s="88"/>
      <c r="CK118" s="89"/>
      <c r="CL118" s="89"/>
      <c r="CM118" s="404"/>
      <c r="CN118" s="88"/>
      <c r="CO118" s="89"/>
      <c r="CP118" s="89"/>
      <c r="CQ118" s="89"/>
      <c r="CR118" s="470"/>
      <c r="CS118" s="89"/>
      <c r="CT118" s="89"/>
      <c r="CU118" s="89"/>
      <c r="CV118" s="88"/>
      <c r="CW118" s="89"/>
      <c r="CX118" s="89"/>
      <c r="CY118" s="89"/>
      <c r="CZ118" s="88"/>
      <c r="DA118" s="89"/>
      <c r="DB118" s="89"/>
      <c r="DC118" s="89"/>
      <c r="DD118" s="88"/>
      <c r="DE118" s="89"/>
      <c r="DF118" s="89"/>
      <c r="DG118" s="89"/>
      <c r="DH118" s="88"/>
      <c r="DI118" s="89"/>
      <c r="DJ118" s="89"/>
      <c r="DK118" s="89"/>
      <c r="DL118" s="88"/>
      <c r="DM118" s="89"/>
      <c r="DN118" s="89"/>
      <c r="DO118" s="89"/>
      <c r="DP118" s="88"/>
      <c r="DQ118" s="89"/>
      <c r="DR118" s="89"/>
      <c r="DS118" s="89"/>
      <c r="DU118" s="109"/>
      <c r="DV118" s="109"/>
      <c r="DW118" s="109"/>
      <c r="DX118" s="340"/>
      <c r="DY118" s="341"/>
      <c r="DZ118" s="109"/>
      <c r="EA118" s="109"/>
      <c r="EB118" s="340"/>
      <c r="EC118" s="341"/>
      <c r="ED118" s="109"/>
      <c r="EE118" s="109"/>
      <c r="EF118" s="109"/>
      <c r="EG118" s="341"/>
      <c r="EH118" s="109"/>
      <c r="EI118" s="109"/>
      <c r="EJ118" s="109"/>
      <c r="EK118" s="420"/>
      <c r="EL118" s="109"/>
      <c r="EM118" s="109"/>
      <c r="EN118" s="109"/>
      <c r="EO118" s="341"/>
      <c r="EP118" s="109"/>
      <c r="EQ118" s="109"/>
      <c r="ER118" s="109"/>
      <c r="ES118" s="420"/>
      <c r="ET118" s="109"/>
      <c r="EU118" s="109"/>
      <c r="EV118" s="109"/>
      <c r="EW118" s="341"/>
      <c r="EX118" s="109"/>
      <c r="EY118" s="109"/>
      <c r="EZ118" s="109"/>
      <c r="FA118" s="341"/>
      <c r="FB118" s="109"/>
      <c r="FC118" s="109"/>
      <c r="FD118" s="109"/>
      <c r="FE118" s="341"/>
      <c r="FF118" s="109"/>
      <c r="FG118" s="109"/>
      <c r="FH118" s="109"/>
      <c r="FI118" s="341"/>
      <c r="FJ118" s="109"/>
      <c r="FK118" s="109"/>
      <c r="FL118" s="109"/>
      <c r="FM118" s="63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  <c r="GK118" s="110"/>
      <c r="GL118" s="110"/>
      <c r="GM118" s="110"/>
      <c r="GN118" s="110"/>
      <c r="GO118" s="110"/>
      <c r="GP118" s="110"/>
      <c r="GQ118" s="110"/>
      <c r="GR118" s="110"/>
      <c r="GS118" s="110"/>
      <c r="GT118" s="110"/>
    </row>
    <row r="119" spans="1:168" ht="15.75">
      <c r="A119" s="132"/>
      <c r="B119" s="132"/>
      <c r="C119" s="136"/>
      <c r="D119" s="137"/>
      <c r="E119" s="137"/>
      <c r="F119" s="137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6"/>
      <c r="BM119" s="137"/>
      <c r="BN119" s="137"/>
      <c r="BO119" s="137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</row>
    <row r="120" spans="1:168" ht="15.75">
      <c r="A120" s="132"/>
      <c r="B120" s="132"/>
      <c r="C120" s="136"/>
      <c r="D120" s="137"/>
      <c r="E120" s="137"/>
      <c r="F120" s="137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6"/>
      <c r="BM120" s="137"/>
      <c r="BN120" s="137"/>
      <c r="BO120" s="137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</row>
    <row r="121" spans="1:169" s="68" customFormat="1" ht="15.75">
      <c r="A121" s="654" t="s">
        <v>95</v>
      </c>
      <c r="B121" s="654" t="s">
        <v>256</v>
      </c>
      <c r="C121" s="655" t="s">
        <v>52</v>
      </c>
      <c r="D121" s="655"/>
      <c r="E121" s="655"/>
      <c r="F121" s="655"/>
      <c r="G121" s="655"/>
      <c r="H121" s="655"/>
      <c r="I121" s="655"/>
      <c r="J121" s="655"/>
      <c r="K121" s="655"/>
      <c r="L121" s="655"/>
      <c r="M121" s="655"/>
      <c r="N121" s="655"/>
      <c r="O121" s="655"/>
      <c r="P121" s="655"/>
      <c r="Q121" s="655"/>
      <c r="R121" s="655"/>
      <c r="S121" s="655"/>
      <c r="T121" s="655"/>
      <c r="U121" s="655"/>
      <c r="V121" s="655"/>
      <c r="W121" s="655"/>
      <c r="X121" s="655"/>
      <c r="Y121" s="655"/>
      <c r="Z121" s="655"/>
      <c r="AA121" s="655"/>
      <c r="AB121" s="655"/>
      <c r="AC121" s="655"/>
      <c r="AD121" s="655"/>
      <c r="AE121" s="655"/>
      <c r="AF121" s="655"/>
      <c r="AG121" s="655"/>
      <c r="AH121" s="655"/>
      <c r="AI121" s="655"/>
      <c r="AJ121" s="655"/>
      <c r="AK121" s="655"/>
      <c r="AL121" s="655"/>
      <c r="AM121" s="655"/>
      <c r="AN121" s="655"/>
      <c r="AO121" s="655"/>
      <c r="AP121" s="655"/>
      <c r="AQ121" s="655"/>
      <c r="AR121" s="655"/>
      <c r="AS121" s="655"/>
      <c r="AT121" s="655"/>
      <c r="AU121" s="655"/>
      <c r="AV121" s="655"/>
      <c r="AW121" s="655"/>
      <c r="AX121" s="655"/>
      <c r="AY121" s="655"/>
      <c r="AZ121" s="655"/>
      <c r="BA121" s="655"/>
      <c r="BB121" s="655"/>
      <c r="BC121" s="655"/>
      <c r="BD121" s="655"/>
      <c r="BE121" s="655"/>
      <c r="BF121" s="655"/>
      <c r="BG121" s="655"/>
      <c r="BH121" s="655"/>
      <c r="BI121" s="655"/>
      <c r="BJ121" s="655"/>
      <c r="BK121" s="331"/>
      <c r="BL121" s="656" t="s">
        <v>175</v>
      </c>
      <c r="BM121" s="656"/>
      <c r="BN121" s="656"/>
      <c r="BO121" s="656"/>
      <c r="BP121" s="656"/>
      <c r="BQ121" s="656"/>
      <c r="BR121" s="656"/>
      <c r="BS121" s="656"/>
      <c r="BT121" s="656"/>
      <c r="BU121" s="656"/>
      <c r="BV121" s="656"/>
      <c r="BW121" s="656"/>
      <c r="BX121" s="656"/>
      <c r="BY121" s="656"/>
      <c r="BZ121" s="656"/>
      <c r="CA121" s="656"/>
      <c r="CB121" s="656"/>
      <c r="CC121" s="656"/>
      <c r="CD121" s="656"/>
      <c r="CE121" s="656"/>
      <c r="CF121" s="656"/>
      <c r="CG121" s="656"/>
      <c r="CH121" s="656"/>
      <c r="CI121" s="656"/>
      <c r="CJ121" s="656"/>
      <c r="CK121" s="656"/>
      <c r="CL121" s="656"/>
      <c r="CM121" s="656"/>
      <c r="CN121" s="656"/>
      <c r="CO121" s="656"/>
      <c r="CP121" s="656"/>
      <c r="CQ121" s="656"/>
      <c r="CR121" s="656"/>
      <c r="CS121" s="656"/>
      <c r="CT121" s="656"/>
      <c r="CU121" s="656"/>
      <c r="CV121" s="656"/>
      <c r="CW121" s="656"/>
      <c r="CX121" s="656"/>
      <c r="CY121" s="656"/>
      <c r="CZ121" s="656"/>
      <c r="DA121" s="656"/>
      <c r="DB121" s="656"/>
      <c r="DC121" s="656"/>
      <c r="DD121" s="656"/>
      <c r="DE121" s="656"/>
      <c r="DF121" s="656"/>
      <c r="DG121" s="656"/>
      <c r="DH121" s="656"/>
      <c r="DI121" s="656"/>
      <c r="DJ121" s="656"/>
      <c r="DK121" s="656"/>
      <c r="DL121" s="656"/>
      <c r="DM121" s="656"/>
      <c r="DN121" s="656"/>
      <c r="DO121" s="656"/>
      <c r="DP121" s="656"/>
      <c r="DQ121" s="656"/>
      <c r="DR121" s="656"/>
      <c r="DS121" s="656"/>
      <c r="DT121" s="247"/>
      <c r="DU121" s="247"/>
      <c r="DV121" s="247"/>
      <c r="DW121" s="247"/>
      <c r="DX121" s="247"/>
      <c r="DY121" s="247"/>
      <c r="DZ121" s="247"/>
      <c r="EA121" s="247"/>
      <c r="EB121" s="247"/>
      <c r="EC121" s="247"/>
      <c r="ED121" s="247"/>
      <c r="EE121" s="247"/>
      <c r="EF121" s="247"/>
      <c r="EG121" s="247"/>
      <c r="EH121" s="247"/>
      <c r="EI121" s="247"/>
      <c r="EJ121" s="247"/>
      <c r="EK121" s="247"/>
      <c r="EL121" s="247"/>
      <c r="EM121" s="247"/>
      <c r="EN121" s="247"/>
      <c r="EO121" s="247"/>
      <c r="EP121" s="247"/>
      <c r="EQ121" s="247"/>
      <c r="ER121" s="247"/>
      <c r="ES121" s="247"/>
      <c r="ET121" s="247"/>
      <c r="EU121" s="247"/>
      <c r="EV121" s="247"/>
      <c r="EW121" s="247"/>
      <c r="EX121" s="247"/>
      <c r="EY121" s="247"/>
      <c r="EZ121" s="247"/>
      <c r="FA121" s="247"/>
      <c r="FB121" s="247"/>
      <c r="FC121" s="247"/>
      <c r="FD121" s="247"/>
      <c r="FE121" s="247"/>
      <c r="FF121" s="247"/>
      <c r="FG121" s="247"/>
      <c r="FH121" s="247"/>
      <c r="FI121" s="247"/>
      <c r="FJ121" s="247"/>
      <c r="FK121" s="247"/>
      <c r="FL121" s="247"/>
      <c r="FM121" s="247"/>
    </row>
    <row r="122" spans="1:169" s="68" customFormat="1" ht="15.75">
      <c r="A122" s="654"/>
      <c r="B122" s="654"/>
      <c r="C122" s="655" t="s">
        <v>54</v>
      </c>
      <c r="D122" s="655"/>
      <c r="E122" s="655"/>
      <c r="F122" s="655"/>
      <c r="G122" s="655"/>
      <c r="H122" s="655"/>
      <c r="I122" s="655"/>
      <c r="J122" s="655"/>
      <c r="K122" s="655"/>
      <c r="L122" s="655"/>
      <c r="M122" s="655"/>
      <c r="N122" s="655"/>
      <c r="O122" s="655"/>
      <c r="P122" s="655"/>
      <c r="Q122" s="655"/>
      <c r="R122" s="655"/>
      <c r="S122" s="655"/>
      <c r="T122" s="655"/>
      <c r="U122" s="655"/>
      <c r="V122" s="655"/>
      <c r="W122" s="655"/>
      <c r="X122" s="655"/>
      <c r="Y122" s="655"/>
      <c r="Z122" s="655"/>
      <c r="AA122" s="655"/>
      <c r="AB122" s="655"/>
      <c r="AC122" s="655"/>
      <c r="AD122" s="655"/>
      <c r="AE122" s="655"/>
      <c r="AF122" s="655"/>
      <c r="AG122" s="655"/>
      <c r="AH122" s="655"/>
      <c r="AI122" s="655"/>
      <c r="AJ122" s="655"/>
      <c r="AK122" s="655"/>
      <c r="AL122" s="655"/>
      <c r="AM122" s="655"/>
      <c r="AN122" s="655"/>
      <c r="AO122" s="655"/>
      <c r="AP122" s="655"/>
      <c r="AQ122" s="655"/>
      <c r="AR122" s="655"/>
      <c r="AS122" s="655"/>
      <c r="AT122" s="655"/>
      <c r="AU122" s="655"/>
      <c r="AV122" s="655"/>
      <c r="AW122" s="655"/>
      <c r="AX122" s="655"/>
      <c r="AY122" s="655"/>
      <c r="AZ122" s="655"/>
      <c r="BA122" s="655"/>
      <c r="BB122" s="655"/>
      <c r="BC122" s="655"/>
      <c r="BD122" s="655"/>
      <c r="BE122" s="655"/>
      <c r="BF122" s="655"/>
      <c r="BG122" s="655"/>
      <c r="BH122" s="655"/>
      <c r="BI122" s="655"/>
      <c r="BJ122" s="655"/>
      <c r="BK122" s="331"/>
      <c r="BL122" s="656" t="s">
        <v>176</v>
      </c>
      <c r="BM122" s="656"/>
      <c r="BN122" s="656"/>
      <c r="BO122" s="656"/>
      <c r="BP122" s="656"/>
      <c r="BQ122" s="656"/>
      <c r="BR122" s="656"/>
      <c r="BS122" s="656"/>
      <c r="BT122" s="656"/>
      <c r="BU122" s="656"/>
      <c r="BV122" s="656"/>
      <c r="BW122" s="656"/>
      <c r="BX122" s="656"/>
      <c r="BY122" s="656"/>
      <c r="BZ122" s="656"/>
      <c r="CA122" s="656"/>
      <c r="CB122" s="656"/>
      <c r="CC122" s="656"/>
      <c r="CD122" s="656"/>
      <c r="CE122" s="656"/>
      <c r="CF122" s="656"/>
      <c r="CG122" s="656"/>
      <c r="CH122" s="656"/>
      <c r="CI122" s="656"/>
      <c r="CJ122" s="656"/>
      <c r="CK122" s="656"/>
      <c r="CL122" s="656"/>
      <c r="CM122" s="656"/>
      <c r="CN122" s="656"/>
      <c r="CO122" s="656"/>
      <c r="CP122" s="656"/>
      <c r="CQ122" s="656"/>
      <c r="CR122" s="656"/>
      <c r="CS122" s="656"/>
      <c r="CT122" s="656"/>
      <c r="CU122" s="656"/>
      <c r="CV122" s="656"/>
      <c r="CW122" s="656"/>
      <c r="CX122" s="656"/>
      <c r="CY122" s="656"/>
      <c r="CZ122" s="656"/>
      <c r="DA122" s="656"/>
      <c r="DB122" s="656"/>
      <c r="DC122" s="656"/>
      <c r="DD122" s="656"/>
      <c r="DE122" s="656"/>
      <c r="DF122" s="656"/>
      <c r="DG122" s="656"/>
      <c r="DH122" s="656"/>
      <c r="DI122" s="656"/>
      <c r="DJ122" s="656"/>
      <c r="DK122" s="656"/>
      <c r="DL122" s="656"/>
      <c r="DM122" s="656"/>
      <c r="DN122" s="656"/>
      <c r="DO122" s="656"/>
      <c r="DP122" s="656"/>
      <c r="DQ122" s="656"/>
      <c r="DR122" s="656"/>
      <c r="DS122" s="656"/>
      <c r="DT122" s="247"/>
      <c r="DU122" s="247"/>
      <c r="DV122" s="247"/>
      <c r="DW122" s="247"/>
      <c r="DX122" s="247"/>
      <c r="DY122" s="247"/>
      <c r="DZ122" s="247"/>
      <c r="EA122" s="247"/>
      <c r="EB122" s="247"/>
      <c r="EC122" s="247"/>
      <c r="ED122" s="247"/>
      <c r="EE122" s="247"/>
      <c r="EF122" s="247"/>
      <c r="EG122" s="247"/>
      <c r="EH122" s="247"/>
      <c r="EI122" s="247"/>
      <c r="EJ122" s="247"/>
      <c r="EK122" s="247"/>
      <c r="EL122" s="247"/>
      <c r="EM122" s="247"/>
      <c r="EN122" s="247"/>
      <c r="EO122" s="247"/>
      <c r="EP122" s="247"/>
      <c r="EQ122" s="247"/>
      <c r="ER122" s="247"/>
      <c r="ES122" s="247"/>
      <c r="ET122" s="247"/>
      <c r="EU122" s="247"/>
      <c r="EV122" s="247"/>
      <c r="EW122" s="247"/>
      <c r="EX122" s="247"/>
      <c r="EY122" s="247"/>
      <c r="EZ122" s="247"/>
      <c r="FA122" s="247"/>
      <c r="FB122" s="247"/>
      <c r="FC122" s="247"/>
      <c r="FD122" s="247"/>
      <c r="FE122" s="247"/>
      <c r="FF122" s="247"/>
      <c r="FG122" s="247"/>
      <c r="FH122" s="247"/>
      <c r="FI122" s="247"/>
      <c r="FJ122" s="247"/>
      <c r="FK122" s="247"/>
      <c r="FL122" s="247"/>
      <c r="FM122" s="247"/>
    </row>
    <row r="123" spans="1:169" s="68" customFormat="1" ht="15.75">
      <c r="A123" s="96" t="s">
        <v>55</v>
      </c>
      <c r="B123" s="96" t="s">
        <v>53</v>
      </c>
      <c r="C123" s="328" t="s">
        <v>108</v>
      </c>
      <c r="D123" s="328" t="s">
        <v>109</v>
      </c>
      <c r="E123" s="328" t="s">
        <v>110</v>
      </c>
      <c r="F123" s="328" t="s">
        <v>111</v>
      </c>
      <c r="G123" s="328" t="s">
        <v>107</v>
      </c>
      <c r="H123" s="328" t="s">
        <v>140</v>
      </c>
      <c r="I123" s="328" t="s">
        <v>141</v>
      </c>
      <c r="J123" s="328" t="s">
        <v>143</v>
      </c>
      <c r="K123" s="328" t="s">
        <v>144</v>
      </c>
      <c r="L123" s="328" t="s">
        <v>145</v>
      </c>
      <c r="M123" s="328" t="s">
        <v>146</v>
      </c>
      <c r="N123" s="328" t="s">
        <v>147</v>
      </c>
      <c r="O123" s="328" t="s">
        <v>148</v>
      </c>
      <c r="P123" s="328" t="s">
        <v>149</v>
      </c>
      <c r="Q123" s="328" t="s">
        <v>151</v>
      </c>
      <c r="R123" s="328" t="s">
        <v>158</v>
      </c>
      <c r="S123" s="328" t="s">
        <v>164</v>
      </c>
      <c r="T123" s="328" t="s">
        <v>165</v>
      </c>
      <c r="U123" s="328" t="s">
        <v>166</v>
      </c>
      <c r="V123" s="328" t="s">
        <v>167</v>
      </c>
      <c r="W123" s="328" t="s">
        <v>196</v>
      </c>
      <c r="X123" s="328" t="s">
        <v>198</v>
      </c>
      <c r="Y123" s="328" t="s">
        <v>200</v>
      </c>
      <c r="Z123" s="328" t="s">
        <v>202</v>
      </c>
      <c r="AA123" s="328" t="s">
        <v>207</v>
      </c>
      <c r="AB123" s="328" t="s">
        <v>209</v>
      </c>
      <c r="AC123" s="328" t="s">
        <v>210</v>
      </c>
      <c r="AD123" s="328" t="s">
        <v>211</v>
      </c>
      <c r="AE123" s="328" t="s">
        <v>215</v>
      </c>
      <c r="AF123" s="328" t="s">
        <v>216</v>
      </c>
      <c r="AG123" s="328" t="s">
        <v>220</v>
      </c>
      <c r="AH123" s="328" t="s">
        <v>225</v>
      </c>
      <c r="AI123" s="328" t="s">
        <v>230</v>
      </c>
      <c r="AJ123" s="328" t="s">
        <v>232</v>
      </c>
      <c r="AK123" s="328" t="s">
        <v>237</v>
      </c>
      <c r="AL123" s="328" t="s">
        <v>239</v>
      </c>
      <c r="AM123" s="328" t="s">
        <v>246</v>
      </c>
      <c r="AN123" s="328" t="s">
        <v>247</v>
      </c>
      <c r="AO123" s="328" t="s">
        <v>249</v>
      </c>
      <c r="AP123" s="328" t="s">
        <v>251</v>
      </c>
      <c r="AQ123" s="328" t="s">
        <v>254</v>
      </c>
      <c r="AR123" s="328" t="s">
        <v>257</v>
      </c>
      <c r="AS123" s="371" t="s">
        <v>259</v>
      </c>
      <c r="AT123" s="328" t="s">
        <v>261</v>
      </c>
      <c r="AU123" s="328" t="s">
        <v>263</v>
      </c>
      <c r="AV123" s="328" t="s">
        <v>264</v>
      </c>
      <c r="AW123" s="328" t="s">
        <v>266</v>
      </c>
      <c r="AX123" s="455" t="s">
        <v>268</v>
      </c>
      <c r="AY123" s="330" t="s">
        <v>274</v>
      </c>
      <c r="AZ123" s="328" t="s">
        <v>275</v>
      </c>
      <c r="BA123" s="328" t="s">
        <v>277</v>
      </c>
      <c r="BB123" s="328" t="s">
        <v>279</v>
      </c>
      <c r="BC123" s="330" t="s">
        <v>281</v>
      </c>
      <c r="BD123" s="328" t="s">
        <v>282</v>
      </c>
      <c r="BE123" s="328" t="s">
        <v>286</v>
      </c>
      <c r="BF123" s="328" t="s">
        <v>291</v>
      </c>
      <c r="BG123" s="330" t="s">
        <v>293</v>
      </c>
      <c r="BH123" s="328" t="s">
        <v>294</v>
      </c>
      <c r="BI123" s="328" t="s">
        <v>296</v>
      </c>
      <c r="BJ123" s="328" t="s">
        <v>310</v>
      </c>
      <c r="BK123" s="518"/>
      <c r="BL123" s="332" t="s">
        <v>108</v>
      </c>
      <c r="BM123" s="332" t="s">
        <v>109</v>
      </c>
      <c r="BN123" s="332" t="s">
        <v>110</v>
      </c>
      <c r="BO123" s="333" t="s">
        <v>111</v>
      </c>
      <c r="BP123" s="334" t="s">
        <v>107</v>
      </c>
      <c r="BQ123" s="332" t="s">
        <v>140</v>
      </c>
      <c r="BR123" s="332" t="s">
        <v>141</v>
      </c>
      <c r="BS123" s="333" t="s">
        <v>143</v>
      </c>
      <c r="BT123" s="334" t="s">
        <v>144</v>
      </c>
      <c r="BU123" s="332" t="s">
        <v>145</v>
      </c>
      <c r="BV123" s="332" t="s">
        <v>146</v>
      </c>
      <c r="BW123" s="336" t="s">
        <v>147</v>
      </c>
      <c r="BX123" s="334" t="s">
        <v>148</v>
      </c>
      <c r="BY123" s="332" t="s">
        <v>149</v>
      </c>
      <c r="BZ123" s="332" t="s">
        <v>151</v>
      </c>
      <c r="CA123" s="332" t="s">
        <v>158</v>
      </c>
      <c r="CB123" s="334" t="s">
        <v>164</v>
      </c>
      <c r="CC123" s="332" t="s">
        <v>165</v>
      </c>
      <c r="CD123" s="332" t="s">
        <v>166</v>
      </c>
      <c r="CE123" s="332" t="s">
        <v>167</v>
      </c>
      <c r="CF123" s="334" t="s">
        <v>196</v>
      </c>
      <c r="CG123" s="332" t="s">
        <v>198</v>
      </c>
      <c r="CH123" s="332" t="s">
        <v>200</v>
      </c>
      <c r="CI123" s="332" t="s">
        <v>202</v>
      </c>
      <c r="CJ123" s="334" t="s">
        <v>207</v>
      </c>
      <c r="CK123" s="332" t="s">
        <v>209</v>
      </c>
      <c r="CL123" s="332" t="s">
        <v>210</v>
      </c>
      <c r="CM123" s="403" t="s">
        <v>211</v>
      </c>
      <c r="CN123" s="334" t="s">
        <v>215</v>
      </c>
      <c r="CO123" s="332" t="s">
        <v>216</v>
      </c>
      <c r="CP123" s="332" t="s">
        <v>220</v>
      </c>
      <c r="CQ123" s="332" t="s">
        <v>225</v>
      </c>
      <c r="CR123" s="469" t="s">
        <v>230</v>
      </c>
      <c r="CS123" s="332" t="s">
        <v>232</v>
      </c>
      <c r="CT123" s="332" t="s">
        <v>237</v>
      </c>
      <c r="CU123" s="332" t="s">
        <v>239</v>
      </c>
      <c r="CV123" s="334" t="s">
        <v>246</v>
      </c>
      <c r="CW123" s="332" t="s">
        <v>247</v>
      </c>
      <c r="CX123" s="332" t="s">
        <v>249</v>
      </c>
      <c r="CY123" s="332" t="s">
        <v>251</v>
      </c>
      <c r="CZ123" s="334" t="s">
        <v>254</v>
      </c>
      <c r="DA123" s="332" t="s">
        <v>257</v>
      </c>
      <c r="DB123" s="332" t="s">
        <v>259</v>
      </c>
      <c r="DC123" s="332" t="s">
        <v>261</v>
      </c>
      <c r="DD123" s="334" t="s">
        <v>263</v>
      </c>
      <c r="DE123" s="332" t="s">
        <v>264</v>
      </c>
      <c r="DF123" s="332" t="s">
        <v>266</v>
      </c>
      <c r="DG123" s="332" t="s">
        <v>268</v>
      </c>
      <c r="DH123" s="334" t="s">
        <v>274</v>
      </c>
      <c r="DI123" s="332" t="s">
        <v>275</v>
      </c>
      <c r="DJ123" s="332" t="s">
        <v>277</v>
      </c>
      <c r="DK123" s="332" t="s">
        <v>279</v>
      </c>
      <c r="DL123" s="334" t="s">
        <v>281</v>
      </c>
      <c r="DM123" s="332" t="s">
        <v>282</v>
      </c>
      <c r="DN123" s="332" t="s">
        <v>286</v>
      </c>
      <c r="DO123" s="332" t="s">
        <v>291</v>
      </c>
      <c r="DP123" s="334" t="s">
        <v>293</v>
      </c>
      <c r="DQ123" s="332" t="s">
        <v>294</v>
      </c>
      <c r="DR123" s="332" t="s">
        <v>296</v>
      </c>
      <c r="DS123" s="332" t="s">
        <v>309</v>
      </c>
      <c r="DT123" s="247"/>
      <c r="DU123" s="247"/>
      <c r="DV123" s="247"/>
      <c r="DW123" s="247"/>
      <c r="DX123" s="247"/>
      <c r="DY123" s="247"/>
      <c r="DZ123" s="247"/>
      <c r="EA123" s="247"/>
      <c r="EB123" s="247"/>
      <c r="EC123" s="247"/>
      <c r="ED123" s="247"/>
      <c r="EE123" s="247"/>
      <c r="EF123" s="247"/>
      <c r="EG123" s="247"/>
      <c r="EH123" s="247"/>
      <c r="EI123" s="247"/>
      <c r="EJ123" s="247"/>
      <c r="EK123" s="247"/>
      <c r="EL123" s="247"/>
      <c r="EM123" s="247"/>
      <c r="EN123" s="247"/>
      <c r="EO123" s="247"/>
      <c r="EP123" s="247"/>
      <c r="EQ123" s="247"/>
      <c r="ER123" s="247"/>
      <c r="ES123" s="247"/>
      <c r="ET123" s="247"/>
      <c r="EU123" s="247"/>
      <c r="EV123" s="247"/>
      <c r="EW123" s="247"/>
      <c r="EX123" s="247"/>
      <c r="EY123" s="247"/>
      <c r="EZ123" s="247"/>
      <c r="FA123" s="247"/>
      <c r="FB123" s="247"/>
      <c r="FC123" s="247"/>
      <c r="FD123" s="247"/>
      <c r="FE123" s="247"/>
      <c r="FF123" s="247"/>
      <c r="FG123" s="247"/>
      <c r="FH123" s="247"/>
      <c r="FI123" s="247"/>
      <c r="FJ123" s="247"/>
      <c r="FK123" s="247"/>
      <c r="FL123" s="247"/>
      <c r="FM123" s="247"/>
    </row>
    <row r="124" spans="1:141" ht="15.75">
      <c r="A124" s="98" t="s">
        <v>58</v>
      </c>
      <c r="B124" s="98" t="s">
        <v>2</v>
      </c>
      <c r="C124" s="596">
        <v>287.182</v>
      </c>
      <c r="D124" s="596">
        <v>230.52199999999993</v>
      </c>
      <c r="E124" s="596">
        <v>256.8130000000001</v>
      </c>
      <c r="F124" s="597">
        <v>285.558</v>
      </c>
      <c r="G124" s="598">
        <v>270</v>
      </c>
      <c r="H124" s="596">
        <v>289.442</v>
      </c>
      <c r="I124" s="596">
        <v>271.25800000000004</v>
      </c>
      <c r="J124" s="597">
        <f>Annually!H132-SUM(G124:I124)</f>
        <v>277.5999999999999</v>
      </c>
      <c r="K124" s="599">
        <v>284.7</v>
      </c>
      <c r="L124" s="600">
        <v>283.32800000000003</v>
      </c>
      <c r="M124" s="600">
        <v>230.927</v>
      </c>
      <c r="N124" s="601">
        <f>Annually!I132-Quarterly!M124-L124-K124</f>
        <v>303.945</v>
      </c>
      <c r="O124" s="599">
        <v>300.224</v>
      </c>
      <c r="P124" s="602">
        <f>600.95-O124</f>
        <v>300.72600000000006</v>
      </c>
      <c r="Q124" s="602">
        <v>291.41399999999993</v>
      </c>
      <c r="R124" s="602">
        <f>-Q124-P124-O124+Annually!J132</f>
        <v>277.5629999999999</v>
      </c>
      <c r="S124" s="599">
        <v>302.4</v>
      </c>
      <c r="T124" s="600">
        <v>295.6</v>
      </c>
      <c r="U124" s="600">
        <v>308.26300000000003</v>
      </c>
      <c r="V124" s="600">
        <v>313.73699999999997</v>
      </c>
      <c r="W124" s="599">
        <v>292.481</v>
      </c>
      <c r="X124" s="600">
        <v>306.895</v>
      </c>
      <c r="Y124" s="600">
        <v>310.82400000000007</v>
      </c>
      <c r="Z124" s="600">
        <f>Annually!L132-Y124-X124-W124</f>
        <v>311</v>
      </c>
      <c r="AA124" s="599">
        <v>274.398</v>
      </c>
      <c r="AB124" s="600">
        <v>247.39</v>
      </c>
      <c r="AC124" s="600">
        <v>246.31799999999998</v>
      </c>
      <c r="AD124" s="600">
        <f>Annually!M132-AC124-AB124-AA124</f>
        <v>311.6500000000001</v>
      </c>
      <c r="AE124" s="599">
        <v>303.674</v>
      </c>
      <c r="AF124" s="600">
        <v>337.37</v>
      </c>
      <c r="AG124" s="600">
        <v>458.2779999999999</v>
      </c>
      <c r="AH124" s="600">
        <f>Annually!N132-AG124-AF124-AE124</f>
        <v>514.7780000000001</v>
      </c>
      <c r="AI124" s="603">
        <v>500.573</v>
      </c>
      <c r="AJ124" s="600">
        <v>451.927</v>
      </c>
      <c r="AK124" s="600">
        <v>511.85799999999995</v>
      </c>
      <c r="AL124" s="600">
        <f>Annually!O132-AK124-AJ124-AI124</f>
        <v>527.3410000000002</v>
      </c>
      <c r="AM124" s="603">
        <v>511.881</v>
      </c>
      <c r="AN124" s="600">
        <v>481.696</v>
      </c>
      <c r="AO124" s="600">
        <v>531.8760000000001</v>
      </c>
      <c r="AP124" s="600">
        <f>Annually!P132-AM124-AN124-AO124</f>
        <v>490.15599999999995</v>
      </c>
      <c r="AQ124" s="603">
        <v>531.305</v>
      </c>
      <c r="AR124" s="600">
        <v>529.8830000000002</v>
      </c>
      <c r="AS124" s="600">
        <v>537.677</v>
      </c>
      <c r="AT124" s="600">
        <f>Annually!Q132-AQ124-AR124-AS124</f>
        <v>518.9719999999999</v>
      </c>
      <c r="AU124" s="603">
        <v>490.733</v>
      </c>
      <c r="AV124" s="600">
        <v>515.817</v>
      </c>
      <c r="AW124" s="600">
        <v>506.6069999999999</v>
      </c>
      <c r="AX124" s="604">
        <f>Annually!R132-AU124-AV124-AW124</f>
        <v>490.2010000000001</v>
      </c>
      <c r="AY124" s="599">
        <v>509.984</v>
      </c>
      <c r="AZ124" s="254">
        <v>540.448</v>
      </c>
      <c r="BA124" s="600">
        <v>556.965</v>
      </c>
      <c r="BB124" s="604">
        <f>Annually!S132-AY124-AZ124-BA124</f>
        <v>565.0410000000003</v>
      </c>
      <c r="BC124" s="599">
        <v>553.875</v>
      </c>
      <c r="BD124" s="254">
        <v>484.786</v>
      </c>
      <c r="BE124" s="254">
        <v>545.2239999999999</v>
      </c>
      <c r="BF124" s="604">
        <f>Annually!T132-BC124-BD124-BE124</f>
        <v>562.365</v>
      </c>
      <c r="BG124" s="599">
        <v>551.969</v>
      </c>
      <c r="BH124" s="254">
        <v>553.5999999999999</v>
      </c>
      <c r="BI124" s="254">
        <v>474.24800000000005</v>
      </c>
      <c r="BJ124" s="604">
        <f>Annually!U132-BG124-BH124-BI124</f>
        <v>561.6000000000004</v>
      </c>
      <c r="BK124" s="523"/>
      <c r="BL124" s="77">
        <v>63.17929</v>
      </c>
      <c r="BM124" s="77">
        <v>29.23771</v>
      </c>
      <c r="BN124" s="77">
        <v>48.54039</v>
      </c>
      <c r="BO124" s="78">
        <v>76.00390999999999</v>
      </c>
      <c r="BP124" s="79">
        <v>61</v>
      </c>
      <c r="BQ124" s="80">
        <v>57.32733</v>
      </c>
      <c r="BR124" s="80">
        <v>66.77266999999999</v>
      </c>
      <c r="BS124" s="81">
        <f>Annually!AC132-SUM(Quarterly!BP124:BR124)</f>
        <v>41.20000000000002</v>
      </c>
      <c r="BT124" s="82">
        <v>43.9</v>
      </c>
      <c r="BU124" s="83">
        <v>47.16541</v>
      </c>
      <c r="BV124" s="83">
        <v>23.15059</v>
      </c>
      <c r="BW124" s="84">
        <f>Annually!AD132-Quarterly!BV124-Quarterly!BU124-Quarterly!BT124</f>
        <v>45.48399999999999</v>
      </c>
      <c r="BX124" s="82">
        <v>30.1</v>
      </c>
      <c r="BY124" s="83">
        <f>62.09628-BX124</f>
        <v>31.99628</v>
      </c>
      <c r="BZ124" s="83">
        <v>33.303720000000006</v>
      </c>
      <c r="CA124" s="85">
        <f>-BZ124-BY124-BX124+Annually!AE132</f>
        <v>37.15011999999999</v>
      </c>
      <c r="CB124" s="261">
        <v>17.7</v>
      </c>
      <c r="CC124" s="86">
        <v>32.6151</v>
      </c>
      <c r="CD124" s="86">
        <v>14.717220000000001</v>
      </c>
      <c r="CE124" s="86">
        <v>30.367680000000007</v>
      </c>
      <c r="CF124" s="261">
        <v>0.08454</v>
      </c>
      <c r="CG124" s="86">
        <v>22.563769999999998</v>
      </c>
      <c r="CH124" s="86">
        <v>17.25169</v>
      </c>
      <c r="CI124" s="86">
        <f>Annually!AG132-CH124-CG124-CF124</f>
        <v>41.000000000000014</v>
      </c>
      <c r="CJ124" s="261">
        <v>0.0075</v>
      </c>
      <c r="CK124" s="86">
        <v>0.008</v>
      </c>
      <c r="CL124" s="86">
        <v>0.0005000000000000004</v>
      </c>
      <c r="CM124" s="408">
        <f>Annually!AH132-CL124-CK124-CJ124</f>
        <v>0.0075</v>
      </c>
      <c r="CN124" s="412">
        <v>0</v>
      </c>
      <c r="CO124" s="86">
        <v>33.67704</v>
      </c>
      <c r="CP124" s="86">
        <v>137.77213</v>
      </c>
      <c r="CQ124" s="86">
        <f>Annually!AI132-CP124-CO124-CN124</f>
        <v>143.89271</v>
      </c>
      <c r="CR124" s="476">
        <v>155.77665</v>
      </c>
      <c r="CS124" s="86">
        <v>102.18662000000003</v>
      </c>
      <c r="CT124" s="86">
        <v>157.62390999999994</v>
      </c>
      <c r="CU124" s="86">
        <f>Annually!AJ132-CT124-CS124-CR124</f>
        <v>150.2057</v>
      </c>
      <c r="CV124" s="412">
        <v>121.79897999999999</v>
      </c>
      <c r="CW124" s="86">
        <v>108.83312</v>
      </c>
      <c r="CX124" s="86">
        <v>153.59769</v>
      </c>
      <c r="CY124" s="86">
        <f>Annually!AK132-CV124-CW124-CX124</f>
        <v>79.78366000000005</v>
      </c>
      <c r="CZ124" s="412">
        <v>91.46758000000001</v>
      </c>
      <c r="DA124" s="86">
        <v>85.11192999999999</v>
      </c>
      <c r="DB124" s="86">
        <v>71.12879000000002</v>
      </c>
      <c r="DC124" s="86">
        <f>Annually!AL132-CZ124-DA124-DB124</f>
        <v>48.78852999999998</v>
      </c>
      <c r="DD124" s="412">
        <v>40.71994</v>
      </c>
      <c r="DE124" s="86">
        <v>21.40878</v>
      </c>
      <c r="DF124" s="86">
        <v>23.089649999999992</v>
      </c>
      <c r="DG124" s="86">
        <f>Annually!AM132-DD124-DE124-DF124</f>
        <v>20.77307000000001</v>
      </c>
      <c r="DH124" s="412">
        <v>14.02692</v>
      </c>
      <c r="DI124" s="86">
        <v>23.930520000000005</v>
      </c>
      <c r="DJ124" s="86">
        <v>14.13355</v>
      </c>
      <c r="DK124" s="86">
        <f>Annually!AN132-DH124-DI124-DJ124</f>
        <v>3.9933299999999967</v>
      </c>
      <c r="DL124" s="412">
        <v>10.60927</v>
      </c>
      <c r="DM124" s="86">
        <v>10.38773</v>
      </c>
      <c r="DN124" s="86">
        <v>0</v>
      </c>
      <c r="DO124" s="86">
        <f>Annually!AO132-DL124-DM124-DN124</f>
        <v>0</v>
      </c>
      <c r="DP124" s="412">
        <v>0</v>
      </c>
      <c r="DQ124" s="86">
        <v>0</v>
      </c>
      <c r="DR124" s="86">
        <v>0</v>
      </c>
      <c r="DS124" s="86">
        <f>Annually!AP132-DP124-DQ124-DR124</f>
        <v>0</v>
      </c>
      <c r="DV124" s="63"/>
      <c r="DW124" s="63"/>
      <c r="EJ124" s="62"/>
      <c r="EK124" s="63"/>
    </row>
    <row r="125" spans="1:169" s="129" customFormat="1" ht="15.75">
      <c r="A125" s="100" t="s">
        <v>104</v>
      </c>
      <c r="B125" s="100" t="s">
        <v>93</v>
      </c>
      <c r="C125" s="101">
        <v>227.90964</v>
      </c>
      <c r="D125" s="101">
        <v>203.20561</v>
      </c>
      <c r="E125" s="101">
        <v>202.91271</v>
      </c>
      <c r="F125" s="102">
        <v>212.59393999999998</v>
      </c>
      <c r="G125" s="103">
        <v>207.4</v>
      </c>
      <c r="H125" s="101">
        <v>229.91103</v>
      </c>
      <c r="I125" s="101">
        <v>207.38897000000006</v>
      </c>
      <c r="J125" s="102">
        <f>Annually!H133-SUM(G125:I125)</f>
        <v>239.19999999999993</v>
      </c>
      <c r="K125" s="256">
        <v>236.6</v>
      </c>
      <c r="L125" s="257">
        <v>232.72270999999998</v>
      </c>
      <c r="M125" s="257">
        <v>209.73048000000009</v>
      </c>
      <c r="N125" s="258">
        <f>Annually!I133-Quarterly!M125-L125-K125</f>
        <v>262.4468099999999</v>
      </c>
      <c r="O125" s="256">
        <v>269.41368</v>
      </c>
      <c r="P125" s="250">
        <f>536.44474-O125</f>
        <v>267.03106</v>
      </c>
      <c r="Q125" s="250">
        <v>258.41113999999993</v>
      </c>
      <c r="R125" s="264">
        <f>-Q125-P125-O125+Annually!J133</f>
        <v>243.98249999999996</v>
      </c>
      <c r="S125" s="256">
        <v>278.7</v>
      </c>
      <c r="T125" s="257">
        <v>266.7</v>
      </c>
      <c r="U125" s="257">
        <v>292.7288899999999</v>
      </c>
      <c r="V125" s="257">
        <v>286.67111</v>
      </c>
      <c r="W125" s="256">
        <v>290.73316</v>
      </c>
      <c r="X125" s="257">
        <v>282.30884000000003</v>
      </c>
      <c r="Y125" s="257">
        <v>296.35799999999995</v>
      </c>
      <c r="Z125" s="257">
        <f>Annually!L133-Y125-X125-W125</f>
        <v>271.30000000000007</v>
      </c>
      <c r="AA125" s="256">
        <v>277.18488</v>
      </c>
      <c r="AB125" s="257">
        <v>244.34632</v>
      </c>
      <c r="AC125" s="257">
        <v>248.30060000000014</v>
      </c>
      <c r="AD125" s="257">
        <f>Annually!M133-AC125-AB125-AA125</f>
        <v>310.03446299999973</v>
      </c>
      <c r="AE125" s="256">
        <v>302.2789</v>
      </c>
      <c r="AF125" s="257">
        <v>302.9547</v>
      </c>
      <c r="AG125" s="257">
        <v>320.66979000000003</v>
      </c>
      <c r="AH125" s="257">
        <f>Annually!N133-AG125-AF125-AE125</f>
        <v>370.37639</v>
      </c>
      <c r="AI125" s="465">
        <v>344.34325</v>
      </c>
      <c r="AJ125" s="257">
        <v>346.55674999999997</v>
      </c>
      <c r="AK125" s="257">
        <v>354.6877800000001</v>
      </c>
      <c r="AL125" s="257">
        <f>Annually!O133-AK125-AJ125-AI125</f>
        <v>374.80471</v>
      </c>
      <c r="AM125" s="465">
        <v>394.92776</v>
      </c>
      <c r="AN125" s="257">
        <v>370.93648</v>
      </c>
      <c r="AO125" s="257">
        <v>375.52975999999995</v>
      </c>
      <c r="AP125" s="252">
        <f>Annually!P133-AM125-AN125-AO125</f>
        <v>414.9917000000002</v>
      </c>
      <c r="AQ125" s="465">
        <v>437.48396</v>
      </c>
      <c r="AR125" s="257">
        <v>447.1284199999999</v>
      </c>
      <c r="AS125" s="257">
        <v>458.4922700000001</v>
      </c>
      <c r="AT125" s="252">
        <f>Annually!Q133-AQ125-AR125-AS125</f>
        <v>478.8152100000002</v>
      </c>
      <c r="AU125" s="465">
        <v>447.10209000000003</v>
      </c>
      <c r="AV125" s="257">
        <v>490.7305699999999</v>
      </c>
      <c r="AW125" s="257">
        <v>484.17357</v>
      </c>
      <c r="AX125" s="268">
        <f>Annually!R133-AU125-AV125-AW125</f>
        <v>468.6009699999999</v>
      </c>
      <c r="AY125" s="256">
        <v>500.48574399999995</v>
      </c>
      <c r="AZ125" s="257">
        <v>512.4975200000001</v>
      </c>
      <c r="BA125" s="257">
        <v>543.77234</v>
      </c>
      <c r="BB125" s="268">
        <f>Annually!S133-AY125-AZ125-BA125</f>
        <v>554.1895999999995</v>
      </c>
      <c r="BC125" s="256">
        <v>556.64007</v>
      </c>
      <c r="BD125" s="257">
        <v>463.32892000000004</v>
      </c>
      <c r="BE125" s="257">
        <v>552.9776999999998</v>
      </c>
      <c r="BF125" s="268">
        <f>Annually!T133-BC125-BD125-BE125</f>
        <v>563.3295500000005</v>
      </c>
      <c r="BG125" s="256">
        <v>554.4939999999999</v>
      </c>
      <c r="BH125" s="257">
        <v>551.8826003300001</v>
      </c>
      <c r="BI125" s="257">
        <v>475.2616599999999</v>
      </c>
      <c r="BJ125" s="268">
        <f>Annually!U133-BG125-BH125-BI125</f>
        <v>563.5170400000002</v>
      </c>
      <c r="BK125" s="523"/>
      <c r="BL125" s="145"/>
      <c r="BM125" s="145"/>
      <c r="BN125" s="145"/>
      <c r="BO125" s="146"/>
      <c r="BP125" s="147"/>
      <c r="BQ125" s="148"/>
      <c r="BR125" s="148"/>
      <c r="BS125" s="149"/>
      <c r="BT125" s="150"/>
      <c r="BU125" s="151"/>
      <c r="BV125" s="151"/>
      <c r="BW125" s="396"/>
      <c r="BX125" s="150"/>
      <c r="BY125" s="151"/>
      <c r="BZ125" s="151"/>
      <c r="CA125" s="397"/>
      <c r="CB125" s="439"/>
      <c r="CC125" s="111"/>
      <c r="CD125" s="111"/>
      <c r="CE125" s="111"/>
      <c r="CF125" s="439"/>
      <c r="CG125" s="111"/>
      <c r="CH125" s="111"/>
      <c r="CI125" s="111"/>
      <c r="CJ125" s="439"/>
      <c r="CK125" s="111"/>
      <c r="CL125" s="111"/>
      <c r="CM125" s="440"/>
      <c r="CN125" s="441"/>
      <c r="CO125" s="111"/>
      <c r="CP125" s="111">
        <v>4.1167</v>
      </c>
      <c r="CQ125" s="111">
        <f>Annually!AI133-CP125-CO125-CN125</f>
        <v>8.319280000000001</v>
      </c>
      <c r="CR125" s="477"/>
      <c r="CS125" s="111"/>
      <c r="CT125" s="111">
        <v>14.91678</v>
      </c>
      <c r="CU125" s="111">
        <f>Annually!AJ133-CT125-CS125-CR125</f>
        <v>6.91563</v>
      </c>
      <c r="CV125" s="441">
        <v>6.00269</v>
      </c>
      <c r="CW125" s="111">
        <f>15.83-CV125</f>
        <v>9.82731</v>
      </c>
      <c r="CX125" s="111">
        <v>0</v>
      </c>
      <c r="CY125" s="121">
        <f>Annually!AK133-CV125-CW125-CX125</f>
        <v>1.992009999999997</v>
      </c>
      <c r="CZ125" s="441">
        <v>5.36215</v>
      </c>
      <c r="DA125" s="111">
        <v>0</v>
      </c>
      <c r="DB125" s="111">
        <v>0</v>
      </c>
      <c r="DC125" s="121">
        <f>Annually!AL133-CZ125-DA125-DB125</f>
        <v>1.9987500000000002</v>
      </c>
      <c r="DD125" s="441">
        <v>0</v>
      </c>
      <c r="DE125" s="111">
        <v>0</v>
      </c>
      <c r="DF125" s="111">
        <v>0</v>
      </c>
      <c r="DG125" s="121">
        <f>Annually!AM133-DD125-DE125-DF125</f>
        <v>0</v>
      </c>
      <c r="DH125" s="441">
        <v>0</v>
      </c>
      <c r="DI125" s="111">
        <v>0</v>
      </c>
      <c r="DJ125" s="111">
        <v>0</v>
      </c>
      <c r="DK125" s="111">
        <f>Annually!AN133-DH125-DI125-DJ125</f>
        <v>0</v>
      </c>
      <c r="DL125" s="441">
        <v>0</v>
      </c>
      <c r="DM125" s="111">
        <v>8.29142</v>
      </c>
      <c r="DN125" s="111">
        <v>0</v>
      </c>
      <c r="DO125" s="111">
        <f>Annually!AO133-DL125-DM125-DN125</f>
        <v>0</v>
      </c>
      <c r="DP125" s="441"/>
      <c r="DQ125" s="111"/>
      <c r="DR125" s="111"/>
      <c r="DS125" s="111">
        <f>Annually!AP133-DP125-DQ125-DR125</f>
        <v>0</v>
      </c>
      <c r="DT125" s="156"/>
      <c r="DU125" s="61"/>
      <c r="DV125" s="156"/>
      <c r="DW125" s="156"/>
      <c r="DX125" s="156"/>
      <c r="DY125" s="61"/>
      <c r="DZ125" s="61"/>
      <c r="EA125" s="61"/>
      <c r="EB125" s="61"/>
      <c r="EC125" s="61"/>
      <c r="ED125" s="61"/>
      <c r="EE125" s="61"/>
      <c r="EF125" s="61"/>
      <c r="EG125" s="491"/>
      <c r="EH125" s="491"/>
      <c r="EI125" s="61"/>
      <c r="EJ125" s="127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156"/>
    </row>
    <row r="126" spans="1:140" ht="15.75">
      <c r="A126" s="70" t="s">
        <v>133</v>
      </c>
      <c r="B126" s="70" t="s">
        <v>57</v>
      </c>
      <c r="C126" s="71">
        <v>373.00414</v>
      </c>
      <c r="D126" s="71">
        <v>282.3111</v>
      </c>
      <c r="E126" s="71">
        <v>305.56250999999986</v>
      </c>
      <c r="F126" s="72">
        <v>315.22644500000024</v>
      </c>
      <c r="G126" s="73">
        <v>331.5</v>
      </c>
      <c r="H126" s="71">
        <v>346.84286999999995</v>
      </c>
      <c r="I126" s="71">
        <v>331.5571299999999</v>
      </c>
      <c r="J126" s="72">
        <f>Annually!H134-SUM(G126:I126)</f>
        <v>405.60000000000014</v>
      </c>
      <c r="K126" s="249">
        <f aca="true" t="shared" si="501" ref="K126:BC126">K128+K130+K136</f>
        <v>380.77</v>
      </c>
      <c r="L126" s="249">
        <f t="shared" si="501"/>
        <v>371.99676500000004</v>
      </c>
      <c r="M126" s="249">
        <f t="shared" si="501"/>
        <v>333.906235</v>
      </c>
      <c r="N126" s="265">
        <f t="shared" si="501"/>
        <v>407.227</v>
      </c>
      <c r="O126" s="270">
        <f t="shared" si="501"/>
        <v>436.70919000000004</v>
      </c>
      <c r="P126" s="249">
        <f t="shared" si="501"/>
        <v>495.5892</v>
      </c>
      <c r="Q126" s="249">
        <f t="shared" si="501"/>
        <v>436.296725</v>
      </c>
      <c r="R126" s="265">
        <f t="shared" si="501"/>
        <v>427.54925999999995</v>
      </c>
      <c r="S126" s="253">
        <f t="shared" si="501"/>
        <v>491.1</v>
      </c>
      <c r="T126" s="254">
        <f t="shared" si="501"/>
        <v>474.1</v>
      </c>
      <c r="U126" s="254">
        <f t="shared" si="501"/>
        <v>538.4068299999999</v>
      </c>
      <c r="V126" s="254">
        <f t="shared" si="501"/>
        <v>509.7931700000001</v>
      </c>
      <c r="W126" s="253">
        <f t="shared" si="501"/>
        <v>545.18795</v>
      </c>
      <c r="X126" s="254">
        <f t="shared" si="501"/>
        <v>553.270575</v>
      </c>
      <c r="Y126" s="254">
        <f t="shared" si="501"/>
        <v>574.041475</v>
      </c>
      <c r="Z126" s="254">
        <f t="shared" si="501"/>
        <v>470.1000000000001</v>
      </c>
      <c r="AA126" s="253">
        <f t="shared" si="501"/>
        <v>528.962765</v>
      </c>
      <c r="AB126" s="254">
        <f t="shared" si="501"/>
        <v>409.81032000000005</v>
      </c>
      <c r="AC126" s="254">
        <f t="shared" si="501"/>
        <v>452.95166500000005</v>
      </c>
      <c r="AD126" s="254">
        <f t="shared" si="501"/>
        <v>506.22977599999984</v>
      </c>
      <c r="AE126" s="253">
        <f t="shared" si="501"/>
        <v>574.0983249999999</v>
      </c>
      <c r="AF126" s="254">
        <f t="shared" si="501"/>
        <v>625.040585</v>
      </c>
      <c r="AG126" s="254">
        <f t="shared" si="501"/>
        <v>655.1596499999998</v>
      </c>
      <c r="AH126" s="254">
        <f t="shared" si="501"/>
        <v>721.1908000000002</v>
      </c>
      <c r="AI126" s="464">
        <f t="shared" si="501"/>
        <v>675.055415</v>
      </c>
      <c r="AJ126" s="254">
        <f t="shared" si="501"/>
        <v>611.691885</v>
      </c>
      <c r="AK126" s="254">
        <f t="shared" si="501"/>
        <v>637.1680450000001</v>
      </c>
      <c r="AL126" s="254">
        <f t="shared" si="501"/>
        <v>669.470885</v>
      </c>
      <c r="AM126" s="464">
        <f t="shared" si="501"/>
        <v>765.8085100000001</v>
      </c>
      <c r="AN126" s="254">
        <f t="shared" si="501"/>
        <v>731.806795</v>
      </c>
      <c r="AO126" s="254">
        <f t="shared" si="501"/>
        <v>729.321475</v>
      </c>
      <c r="AP126" s="254">
        <f t="shared" si="501"/>
        <v>852.4319400000002</v>
      </c>
      <c r="AQ126" s="464">
        <f t="shared" si="501"/>
        <v>929.17126</v>
      </c>
      <c r="AR126" s="254">
        <f t="shared" si="501"/>
        <v>1014.4973350000002</v>
      </c>
      <c r="AS126" s="254">
        <f t="shared" si="501"/>
        <v>1015.62027246</v>
      </c>
      <c r="AT126" s="254">
        <f t="shared" si="501"/>
        <v>958.3976949999999</v>
      </c>
      <c r="AU126" s="464">
        <f t="shared" si="501"/>
        <v>779.757985</v>
      </c>
      <c r="AV126" s="254">
        <f t="shared" si="501"/>
        <v>1002.8163900000002</v>
      </c>
      <c r="AW126" s="254">
        <f t="shared" si="501"/>
        <v>860.0414999999998</v>
      </c>
      <c r="AX126" s="269">
        <f t="shared" si="501"/>
        <v>762.1716600000001</v>
      </c>
      <c r="AY126" s="253">
        <f t="shared" si="501"/>
        <v>844.4672500000001</v>
      </c>
      <c r="AZ126" s="254">
        <f t="shared" si="501"/>
        <v>940.25695</v>
      </c>
      <c r="BA126" s="254">
        <f t="shared" si="501"/>
        <v>1016.75765</v>
      </c>
      <c r="BB126" s="269">
        <f t="shared" si="501"/>
        <v>997.8048999999996</v>
      </c>
      <c r="BC126" s="253">
        <f t="shared" si="501"/>
        <v>1082.38503</v>
      </c>
      <c r="BD126" s="254">
        <f aca="true" t="shared" si="502" ref="BD126:BI126">BD128+BD130+BD136+BD137</f>
        <v>793.1200120000001</v>
      </c>
      <c r="BE126" s="254">
        <f t="shared" si="502"/>
        <v>1135.3684</v>
      </c>
      <c r="BF126" s="254">
        <f t="shared" si="502"/>
        <v>1184.6073500000002</v>
      </c>
      <c r="BG126" s="253">
        <f t="shared" si="502"/>
        <v>1089.36805</v>
      </c>
      <c r="BH126" s="254">
        <f t="shared" si="502"/>
        <v>1061.9738</v>
      </c>
      <c r="BI126" s="254">
        <f t="shared" si="502"/>
        <v>755.4270000000001</v>
      </c>
      <c r="BJ126" s="254">
        <f>BJ128+BJ130+BJ136+BJ137</f>
        <v>985.2170500000001</v>
      </c>
      <c r="BK126" s="523"/>
      <c r="BL126" s="77">
        <v>318.52329999999995</v>
      </c>
      <c r="BM126" s="77">
        <v>261.95475</v>
      </c>
      <c r="BN126" s="77">
        <v>244.9456</v>
      </c>
      <c r="BO126" s="78">
        <v>252.2462579999999</v>
      </c>
      <c r="BP126" s="79">
        <v>253.1</v>
      </c>
      <c r="BQ126" s="80">
        <v>303.96592999999996</v>
      </c>
      <c r="BR126" s="80">
        <v>266.53407000000004</v>
      </c>
      <c r="BS126" s="81">
        <f>Annually!AC134-SUM(Quarterly!BP126:BR126)</f>
        <v>327.4999999999999</v>
      </c>
      <c r="BT126" s="82">
        <f>BT128+BT130+BT136</f>
        <v>286.9</v>
      </c>
      <c r="BU126" s="83">
        <f>BU128+BU130+BU136</f>
        <v>319.43539899999996</v>
      </c>
      <c r="BV126" s="83">
        <v>271.16460100000006</v>
      </c>
      <c r="BW126" s="84">
        <f>Annually!AD134-Quarterly!BV126-Quarterly!BU126-Quarterly!BT126</f>
        <v>309.9000000000001</v>
      </c>
      <c r="BX126" s="83">
        <f aca="true" t="shared" si="503" ref="BX126:CX126">BX128+BX130+BX136</f>
        <v>364.6</v>
      </c>
      <c r="BY126" s="83">
        <f t="shared" si="503"/>
        <v>391.563</v>
      </c>
      <c r="BZ126" s="83">
        <f t="shared" si="503"/>
        <v>338.3370000000001</v>
      </c>
      <c r="CA126" s="85">
        <f t="shared" si="503"/>
        <v>323.50962999999996</v>
      </c>
      <c r="CB126" s="261">
        <f t="shared" si="503"/>
        <v>383.80000000000007</v>
      </c>
      <c r="CC126" s="86">
        <f t="shared" si="503"/>
        <v>376.5999999999999</v>
      </c>
      <c r="CD126" s="86">
        <f t="shared" si="503"/>
        <v>428.9988300000001</v>
      </c>
      <c r="CE126" s="86">
        <f t="shared" si="503"/>
        <v>408.8011699999999</v>
      </c>
      <c r="CF126" s="261">
        <f t="shared" si="503"/>
        <v>434.28513</v>
      </c>
      <c r="CG126" s="86">
        <f t="shared" si="503"/>
        <v>432.35759</v>
      </c>
      <c r="CH126" s="86">
        <f t="shared" si="503"/>
        <v>440.15728000000007</v>
      </c>
      <c r="CI126" s="86">
        <f t="shared" si="503"/>
        <v>359.6999999999999</v>
      </c>
      <c r="CJ126" s="261">
        <f t="shared" si="503"/>
        <v>416.72388</v>
      </c>
      <c r="CK126" s="86">
        <f t="shared" si="503"/>
        <v>293.53823999999986</v>
      </c>
      <c r="CL126" s="86">
        <f t="shared" si="503"/>
        <v>358.47868000000005</v>
      </c>
      <c r="CM126" s="408">
        <f t="shared" si="503"/>
        <v>379.60624999999993</v>
      </c>
      <c r="CN126" s="261">
        <f t="shared" si="503"/>
        <v>439.60261</v>
      </c>
      <c r="CO126" s="86">
        <f t="shared" si="503"/>
        <v>451.58034999999995</v>
      </c>
      <c r="CP126" s="86">
        <f t="shared" si="503"/>
        <v>511.96632999999997</v>
      </c>
      <c r="CQ126" s="86">
        <f t="shared" si="503"/>
        <v>575.1513500000001</v>
      </c>
      <c r="CR126" s="476">
        <f t="shared" si="503"/>
        <v>520.36554</v>
      </c>
      <c r="CS126" s="86">
        <f t="shared" si="503"/>
        <v>481.94634</v>
      </c>
      <c r="CT126" s="86">
        <f t="shared" si="503"/>
        <v>515.164898</v>
      </c>
      <c r="CU126" s="86">
        <f t="shared" si="503"/>
        <v>552.24446</v>
      </c>
      <c r="CV126" s="412">
        <f t="shared" si="503"/>
        <v>590.59474</v>
      </c>
      <c r="CW126" s="86">
        <f t="shared" si="503"/>
        <v>540.4007200000001</v>
      </c>
      <c r="CX126" s="86">
        <f t="shared" si="503"/>
        <v>515.40316</v>
      </c>
      <c r="CY126" s="86">
        <f>Annually!AK134-CV126-CW126-CX126</f>
        <v>609.0584699999998</v>
      </c>
      <c r="CZ126" s="412">
        <f>CZ128+CZ130+CZ136</f>
        <v>627.58755</v>
      </c>
      <c r="DA126" s="86">
        <f>DA128+DA130+DA136</f>
        <v>738.3291199999999</v>
      </c>
      <c r="DB126" s="86">
        <f>DB128+DB130+DB136</f>
        <v>729.0861800000001</v>
      </c>
      <c r="DC126" s="86">
        <f>Annually!AL134-CZ126-DA126-DB126</f>
        <v>699.5115199999997</v>
      </c>
      <c r="DD126" s="412">
        <f>DD128+DD130+DD136</f>
        <v>614.641855</v>
      </c>
      <c r="DE126" s="86">
        <f>DE128+DE130+DE136</f>
        <v>773.2936960000002</v>
      </c>
      <c r="DF126" s="86">
        <f>DF128+DF130+DF136</f>
        <v>686.51704</v>
      </c>
      <c r="DG126" s="86">
        <f>Annually!AM134-DD126-DE126-DF126</f>
        <v>619.06449</v>
      </c>
      <c r="DH126" s="412">
        <f>DH128+DH130+DH136</f>
        <v>703.57114</v>
      </c>
      <c r="DI126" s="86">
        <f>DI128+DI130+DI136</f>
        <v>682.0438200000001</v>
      </c>
      <c r="DJ126" s="86">
        <f>DJ128+DJ130+DJ136</f>
        <v>671.6602600000001</v>
      </c>
      <c r="DK126" s="86">
        <f>Annually!AN134-DH126-DI126-DJ126</f>
        <v>763.4727779999996</v>
      </c>
      <c r="DL126" s="412">
        <f>DL128+DL130+DL136</f>
        <v>879.086301</v>
      </c>
      <c r="DM126" s="86">
        <f>DM128+DM130+DM136+DM137</f>
        <v>599.0044239999999</v>
      </c>
      <c r="DN126" s="86">
        <f>DN128+DN130+DN136+DN137</f>
        <v>925.713108</v>
      </c>
      <c r="DO126" s="86">
        <f>Annually!AO134-DL126-DM126-DN126</f>
        <v>965.5579759999999</v>
      </c>
      <c r="DP126" s="412">
        <f>DP128+DP130+DP136+DP137</f>
        <v>852.000889</v>
      </c>
      <c r="DQ126" s="86">
        <f>DQ128+DQ130+DQ136+DQ137</f>
        <v>855.1691940000001</v>
      </c>
      <c r="DR126" s="86">
        <f>DR128+DR130+DR136+DR137</f>
        <v>714.881885</v>
      </c>
      <c r="DS126" s="86">
        <f>Annually!AP134-DP126-DQ126-DR126</f>
        <v>699.3168189999999</v>
      </c>
      <c r="EJ126" s="62"/>
    </row>
    <row r="127" spans="1:169" s="129" customFormat="1" ht="15.75">
      <c r="A127" s="100" t="s">
        <v>104</v>
      </c>
      <c r="B127" s="100" t="s">
        <v>93</v>
      </c>
      <c r="C127" s="101">
        <v>60.706199999999995</v>
      </c>
      <c r="D127" s="101">
        <v>32.266999999999996</v>
      </c>
      <c r="E127" s="101">
        <v>56.35240000000002</v>
      </c>
      <c r="F127" s="102">
        <v>59.597999999999985</v>
      </c>
      <c r="G127" s="103">
        <v>72.3</v>
      </c>
      <c r="H127" s="101">
        <v>51.20800000000001</v>
      </c>
      <c r="I127" s="101">
        <v>61.29199999999999</v>
      </c>
      <c r="J127" s="102">
        <f>Annually!H135-SUM(G127:I127)</f>
        <v>82.30000000000001</v>
      </c>
      <c r="K127" s="250">
        <f aca="true" t="shared" si="504" ref="K127:BE127">K129+K131</f>
        <v>69.96999999999998</v>
      </c>
      <c r="L127" s="250">
        <f t="shared" si="504"/>
        <v>70.12200000000001</v>
      </c>
      <c r="M127" s="250">
        <f t="shared" si="504"/>
        <v>69.321</v>
      </c>
      <c r="N127" s="264">
        <f t="shared" si="504"/>
        <v>93.387</v>
      </c>
      <c r="O127" s="271">
        <f t="shared" si="504"/>
        <v>74.96</v>
      </c>
      <c r="P127" s="250">
        <f t="shared" si="504"/>
        <v>100.54400000000001</v>
      </c>
      <c r="Q127" s="250">
        <f t="shared" si="504"/>
        <v>90.501</v>
      </c>
      <c r="R127" s="264">
        <f t="shared" si="504"/>
        <v>107.9541</v>
      </c>
      <c r="S127" s="256">
        <f t="shared" si="504"/>
        <v>103</v>
      </c>
      <c r="T127" s="257">
        <f t="shared" si="504"/>
        <v>94.3</v>
      </c>
      <c r="U127" s="257">
        <f t="shared" si="504"/>
        <v>111.65599999999999</v>
      </c>
      <c r="V127" s="257">
        <f t="shared" si="504"/>
        <v>99.54399999999998</v>
      </c>
      <c r="W127" s="256">
        <f t="shared" si="504"/>
        <v>120.534</v>
      </c>
      <c r="X127" s="257">
        <f t="shared" si="504"/>
        <v>117.86000000000001</v>
      </c>
      <c r="Y127" s="257">
        <f t="shared" si="504"/>
        <v>127.30599999999998</v>
      </c>
      <c r="Z127" s="257">
        <f t="shared" si="504"/>
        <v>118.4</v>
      </c>
      <c r="AA127" s="256">
        <f t="shared" si="504"/>
        <v>127.53899999999999</v>
      </c>
      <c r="AB127" s="257">
        <f t="shared" si="504"/>
        <v>95.965</v>
      </c>
      <c r="AC127" s="257">
        <f t="shared" si="504"/>
        <v>108.25999999999999</v>
      </c>
      <c r="AD127" s="257">
        <f t="shared" si="504"/>
        <v>117.37870100000004</v>
      </c>
      <c r="AE127" s="256">
        <f t="shared" si="504"/>
        <v>127.749</v>
      </c>
      <c r="AF127" s="257">
        <f t="shared" si="504"/>
        <v>180.27628000000004</v>
      </c>
      <c r="AG127" s="257">
        <f t="shared" si="504"/>
        <v>153.91699999999997</v>
      </c>
      <c r="AH127" s="257">
        <f t="shared" si="504"/>
        <v>141.01597999999998</v>
      </c>
      <c r="AI127" s="465">
        <f t="shared" si="504"/>
        <v>155.78900000000002</v>
      </c>
      <c r="AJ127" s="257">
        <f t="shared" si="504"/>
        <v>116.30799999999998</v>
      </c>
      <c r="AK127" s="257">
        <f t="shared" si="504"/>
        <v>124.61095</v>
      </c>
      <c r="AL127" s="257">
        <f t="shared" si="504"/>
        <v>122.8665</v>
      </c>
      <c r="AM127" s="465">
        <f t="shared" si="504"/>
        <v>174.1615</v>
      </c>
      <c r="AN127" s="257">
        <f t="shared" si="504"/>
        <v>202.76999999999998</v>
      </c>
      <c r="AO127" s="257">
        <f t="shared" si="504"/>
        <v>192.34550000000002</v>
      </c>
      <c r="AP127" s="257">
        <f t="shared" si="504"/>
        <v>244.11846999999995</v>
      </c>
      <c r="AQ127" s="465">
        <f t="shared" si="504"/>
        <v>286.01988</v>
      </c>
      <c r="AR127" s="257">
        <f t="shared" si="504"/>
        <v>291.06323</v>
      </c>
      <c r="AS127" s="257">
        <f t="shared" si="504"/>
        <v>285.5845589999999</v>
      </c>
      <c r="AT127" s="257">
        <f t="shared" si="504"/>
        <v>258.783883</v>
      </c>
      <c r="AU127" s="465">
        <f t="shared" si="504"/>
        <v>170.44086000000001</v>
      </c>
      <c r="AV127" s="257">
        <f t="shared" si="504"/>
        <v>232.730073</v>
      </c>
      <c r="AW127" s="257">
        <f t="shared" si="504"/>
        <v>158.51788399999998</v>
      </c>
      <c r="AX127" s="268">
        <f t="shared" si="504"/>
        <v>128.43615800000003</v>
      </c>
      <c r="AY127" s="256">
        <f t="shared" si="504"/>
        <v>169.911183</v>
      </c>
      <c r="AZ127" s="257">
        <f t="shared" si="504"/>
        <v>256.858826</v>
      </c>
      <c r="BA127" s="257">
        <f t="shared" si="504"/>
        <v>261.782456</v>
      </c>
      <c r="BB127" s="268">
        <f t="shared" si="504"/>
        <v>232.50561999999996</v>
      </c>
      <c r="BC127" s="256">
        <f t="shared" si="504"/>
        <v>246.450048</v>
      </c>
      <c r="BD127" s="257">
        <f t="shared" si="504"/>
        <v>96.95376999999999</v>
      </c>
      <c r="BE127" s="257">
        <f t="shared" si="504"/>
        <v>207.408083</v>
      </c>
      <c r="BF127" s="268">
        <f>BF129+BF131</f>
        <v>279.99903000000006</v>
      </c>
      <c r="BG127" s="256">
        <f>BG129+BG131</f>
        <v>210.43393000000003</v>
      </c>
      <c r="BH127" s="257">
        <f>BH129+BH131</f>
        <v>205.84123999999997</v>
      </c>
      <c r="BI127" s="257">
        <f>BI129+BI131</f>
        <v>113.35528</v>
      </c>
      <c r="BJ127" s="257">
        <f>BJ129+BJ131</f>
        <v>153.97069000000005</v>
      </c>
      <c r="BK127" s="523"/>
      <c r="BL127" s="145"/>
      <c r="BM127" s="145"/>
      <c r="BN127" s="145"/>
      <c r="BO127" s="146"/>
      <c r="BP127" s="147"/>
      <c r="BQ127" s="148"/>
      <c r="BR127" s="148"/>
      <c r="BS127" s="149"/>
      <c r="BT127" s="150"/>
      <c r="BU127" s="151"/>
      <c r="BV127" s="151"/>
      <c r="BW127" s="152"/>
      <c r="BX127" s="153"/>
      <c r="BY127" s="154"/>
      <c r="BZ127" s="154"/>
      <c r="CA127" s="155"/>
      <c r="CB127" s="262"/>
      <c r="CC127" s="104"/>
      <c r="CD127" s="104"/>
      <c r="CE127" s="104"/>
      <c r="CF127" s="262"/>
      <c r="CG127" s="104"/>
      <c r="CH127" s="104"/>
      <c r="CI127" s="104"/>
      <c r="CJ127" s="262"/>
      <c r="CK127" s="104"/>
      <c r="CL127" s="104"/>
      <c r="CM127" s="409"/>
      <c r="CN127" s="413"/>
      <c r="CO127" s="104"/>
      <c r="CP127" s="104"/>
      <c r="CQ127" s="104"/>
      <c r="CR127" s="478"/>
      <c r="CS127" s="104"/>
      <c r="CT127" s="104"/>
      <c r="CU127" s="104"/>
      <c r="CV127" s="413"/>
      <c r="CW127" s="104"/>
      <c r="CX127" s="104"/>
      <c r="CY127" s="104"/>
      <c r="CZ127" s="413"/>
      <c r="DA127" s="104"/>
      <c r="DB127" s="104"/>
      <c r="DC127" s="104"/>
      <c r="DD127" s="413"/>
      <c r="DE127" s="104"/>
      <c r="DF127" s="104"/>
      <c r="DG127" s="104"/>
      <c r="DH127" s="413"/>
      <c r="DI127" s="104"/>
      <c r="DJ127" s="104"/>
      <c r="DK127" s="104"/>
      <c r="DL127" s="413"/>
      <c r="DM127" s="104"/>
      <c r="DN127" s="104"/>
      <c r="DO127" s="104"/>
      <c r="DP127" s="413"/>
      <c r="DQ127" s="104"/>
      <c r="DR127" s="104"/>
      <c r="DS127" s="104"/>
      <c r="DT127" s="156"/>
      <c r="DU127" s="61"/>
      <c r="DV127" s="156"/>
      <c r="DW127" s="156"/>
      <c r="DX127" s="156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127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156"/>
    </row>
    <row r="128" spans="1:140" ht="15.75">
      <c r="A128" s="116" t="s">
        <v>122</v>
      </c>
      <c r="B128" s="116" t="s">
        <v>60</v>
      </c>
      <c r="C128" s="118">
        <v>161.98774</v>
      </c>
      <c r="D128" s="118">
        <v>133.24550000000002</v>
      </c>
      <c r="E128" s="118">
        <v>129.68491</v>
      </c>
      <c r="F128" s="119">
        <v>83.54994499999998</v>
      </c>
      <c r="G128" s="120">
        <v>92.4</v>
      </c>
      <c r="H128" s="118">
        <v>138.59906999999998</v>
      </c>
      <c r="I128" s="118">
        <v>104.90092999999999</v>
      </c>
      <c r="J128" s="119">
        <f>Annually!H136-SUM(G128:I128)</f>
        <v>116.90000000000003</v>
      </c>
      <c r="K128" s="259">
        <f>136.8+K129</f>
        <v>142.4</v>
      </c>
      <c r="L128" s="252">
        <v>123.895965</v>
      </c>
      <c r="M128" s="252">
        <v>95.704035</v>
      </c>
      <c r="N128" s="267">
        <f>Annually!I136-Quarterly!M128-L128-K128</f>
        <v>124.09999999999994</v>
      </c>
      <c r="O128" s="259">
        <v>167.54249</v>
      </c>
      <c r="P128" s="251">
        <v>175.9</v>
      </c>
      <c r="Q128" s="251">
        <v>86.84352499999997</v>
      </c>
      <c r="R128" s="266">
        <f>-Q128-P128-O128+Annually!J136</f>
        <v>105.73448000000002</v>
      </c>
      <c r="S128" s="259">
        <v>151.6</v>
      </c>
      <c r="T128" s="252">
        <v>116.50000000000003</v>
      </c>
      <c r="U128" s="252">
        <v>140.5824299999999</v>
      </c>
      <c r="V128" s="252">
        <v>142.0175700000001</v>
      </c>
      <c r="W128" s="259">
        <v>143.66395</v>
      </c>
      <c r="X128" s="252">
        <v>147.52177500000005</v>
      </c>
      <c r="Y128" s="252">
        <v>156.51427499999994</v>
      </c>
      <c r="Z128" s="252">
        <f>Annually!L136-Y128-X128-W128</f>
        <v>112.50000000000006</v>
      </c>
      <c r="AA128" s="259">
        <v>150.616265</v>
      </c>
      <c r="AB128" s="252">
        <v>84.09461999999999</v>
      </c>
      <c r="AC128" s="252">
        <v>88.16406500000002</v>
      </c>
      <c r="AD128" s="252">
        <f>Annually!M136-AC128-AB128-AA128</f>
        <v>130.39537599999994</v>
      </c>
      <c r="AE128" s="259">
        <v>170.36845499999998</v>
      </c>
      <c r="AF128" s="252">
        <v>146.38554500000004</v>
      </c>
      <c r="AG128" s="257">
        <v>161.78004999999996</v>
      </c>
      <c r="AH128" s="252">
        <f>Annually!N136-AG128-AF128-AE128</f>
        <v>209.76594999999998</v>
      </c>
      <c r="AI128" s="275">
        <v>174.235815</v>
      </c>
      <c r="AJ128" s="252">
        <v>205.464185</v>
      </c>
      <c r="AK128" s="252">
        <v>187.72374500000006</v>
      </c>
      <c r="AL128" s="252">
        <f>Annually!O136-AK128-AJ128-AI128</f>
        <v>193.68723499999993</v>
      </c>
      <c r="AM128" s="275">
        <v>200.59901000000002</v>
      </c>
      <c r="AN128" s="252">
        <v>154.92894499999994</v>
      </c>
      <c r="AO128" s="252">
        <v>139.80397500000004</v>
      </c>
      <c r="AP128" s="252">
        <f>Annually!P136-AM128-AN128-AO128</f>
        <v>147.0921899999999</v>
      </c>
      <c r="AQ128" s="275">
        <v>188.16341</v>
      </c>
      <c r="AR128" s="252">
        <v>266.691985</v>
      </c>
      <c r="AS128" s="252">
        <v>245.80487999999997</v>
      </c>
      <c r="AT128" s="252">
        <f>Annually!Q136-AQ128-AR128-AS128</f>
        <v>235.12679500000002</v>
      </c>
      <c r="AU128" s="275">
        <v>269.87026499999996</v>
      </c>
      <c r="AV128" s="252">
        <v>297.59015000000005</v>
      </c>
      <c r="AW128" s="252">
        <v>266.5319</v>
      </c>
      <c r="AX128" s="267">
        <f>Annually!R136-AU128-AV128-AW128</f>
        <v>294.20064999999994</v>
      </c>
      <c r="AY128" s="259">
        <v>249.6005</v>
      </c>
      <c r="AZ128" s="252">
        <v>228.99645</v>
      </c>
      <c r="BA128" s="252">
        <v>211.052</v>
      </c>
      <c r="BB128" s="267">
        <f>Annually!S136-AY128-AZ128-BA128</f>
        <v>292.7072999999998</v>
      </c>
      <c r="BC128" s="259">
        <v>320.465</v>
      </c>
      <c r="BD128" s="252">
        <v>266.544412</v>
      </c>
      <c r="BE128" s="252">
        <v>317.112</v>
      </c>
      <c r="BF128" s="267">
        <f>Annually!T136-BC128-BD128-BE128</f>
        <v>196.06495</v>
      </c>
      <c r="BG128" s="259">
        <v>207.35064999999997</v>
      </c>
      <c r="BH128" s="252">
        <v>173.28320000000002</v>
      </c>
      <c r="BI128" s="252">
        <v>171.64100000000002</v>
      </c>
      <c r="BJ128" s="267">
        <f>Annually!U136-BG128-BH128-BI128</f>
        <v>205.01604999999995</v>
      </c>
      <c r="BK128" s="523"/>
      <c r="BL128" s="158">
        <v>162.3629</v>
      </c>
      <c r="BM128" s="158">
        <v>139.21135</v>
      </c>
      <c r="BN128" s="158">
        <v>120.4923</v>
      </c>
      <c r="BO128" s="159">
        <v>85.8981</v>
      </c>
      <c r="BP128" s="160">
        <v>73.8</v>
      </c>
      <c r="BQ128" s="161">
        <v>141.06995</v>
      </c>
      <c r="BR128" s="161">
        <v>103.33004999999999</v>
      </c>
      <c r="BS128" s="162">
        <f>Annually!AC136-SUM(Quarterly!BP128:BR128)</f>
        <v>119.40000000000003</v>
      </c>
      <c r="BT128" s="163">
        <v>125.2</v>
      </c>
      <c r="BU128" s="164">
        <v>129.89999999999998</v>
      </c>
      <c r="BV128" s="164">
        <v>94.3</v>
      </c>
      <c r="BW128" s="165">
        <f>Annually!AD136-Quarterly!BV128-Quarterly!BU128-Quarterly!BT128</f>
        <v>108.90000000000002</v>
      </c>
      <c r="BX128" s="163">
        <v>167</v>
      </c>
      <c r="BY128" s="164">
        <f>328.7-BX128</f>
        <v>161.7</v>
      </c>
      <c r="BZ128" s="164">
        <v>82.90000000000003</v>
      </c>
      <c r="CA128" s="166">
        <f>-BZ128-BY128-BX128+Annually!AE136</f>
        <v>81.28679</v>
      </c>
      <c r="CB128" s="263">
        <v>124.9</v>
      </c>
      <c r="CC128" s="121">
        <v>116.19999999999999</v>
      </c>
      <c r="CD128" s="121">
        <v>126.70424000000006</v>
      </c>
      <c r="CE128" s="121">
        <v>135.09575999999993</v>
      </c>
      <c r="CF128" s="263">
        <v>127.35533</v>
      </c>
      <c r="CG128" s="121">
        <v>134.57224000000002</v>
      </c>
      <c r="CH128" s="121">
        <v>136.87243</v>
      </c>
      <c r="CI128" s="121">
        <f>Annually!AG136-CH128-CG128-CF128</f>
        <v>93.89999999999996</v>
      </c>
      <c r="CJ128" s="263">
        <v>130.89414</v>
      </c>
      <c r="CK128" s="121">
        <v>72.34302000000005</v>
      </c>
      <c r="CL128" s="121">
        <v>82.41173999999998</v>
      </c>
      <c r="CM128" s="410">
        <f>Annually!AH136-CL128-CK128-CJ128</f>
        <v>113.95265000000015</v>
      </c>
      <c r="CN128" s="414">
        <v>147.33613</v>
      </c>
      <c r="CO128" s="121">
        <v>95.63726000000003</v>
      </c>
      <c r="CP128" s="121">
        <v>137.35533999999998</v>
      </c>
      <c r="CQ128" s="121">
        <f>Annually!AI136-CP128-CO128-CN128</f>
        <v>187.83343999999997</v>
      </c>
      <c r="CR128" s="479">
        <v>150.9729</v>
      </c>
      <c r="CS128" s="121">
        <v>169.56204</v>
      </c>
      <c r="CT128" s="121">
        <v>171.78560000000002</v>
      </c>
      <c r="CU128" s="121">
        <f>Annually!AJ136-CT128-CS128-CR128</f>
        <v>176.65404999999996</v>
      </c>
      <c r="CV128" s="414">
        <v>167.12944999999996</v>
      </c>
      <c r="CW128" s="121">
        <v>102.98900000000003</v>
      </c>
      <c r="CX128" s="121">
        <v>86.13530000000003</v>
      </c>
      <c r="CY128" s="121">
        <f>Annually!AK136-CV128-CW128-CX128</f>
        <v>77.57021999999995</v>
      </c>
      <c r="CZ128" s="414">
        <v>73.25825</v>
      </c>
      <c r="DA128" s="121">
        <v>158.47864</v>
      </c>
      <c r="DB128" s="121">
        <v>146.78425</v>
      </c>
      <c r="DC128" s="121">
        <f>Annually!AL136-CZ128-DA128-DB128</f>
        <v>152.5988999999999</v>
      </c>
      <c r="DD128" s="414">
        <v>212.4694</v>
      </c>
      <c r="DE128" s="121">
        <v>216.59820000000002</v>
      </c>
      <c r="DF128" s="121">
        <v>224.02145000000002</v>
      </c>
      <c r="DG128" s="121">
        <f>Annually!AM136-DD128-DE128-DF128</f>
        <v>249.45175</v>
      </c>
      <c r="DH128" s="414">
        <v>217.474</v>
      </c>
      <c r="DI128" s="121">
        <v>138.74590000000012</v>
      </c>
      <c r="DJ128" s="121">
        <v>110.8138</v>
      </c>
      <c r="DK128" s="121">
        <f>Annually!AN136-DH128-DI128-DJ128</f>
        <v>179.78289999999998</v>
      </c>
      <c r="DL128" s="414">
        <v>227.43788999999998</v>
      </c>
      <c r="DM128" s="121">
        <v>179.942473</v>
      </c>
      <c r="DN128" s="121">
        <v>271.575422</v>
      </c>
      <c r="DO128" s="121">
        <f>Annually!AO136-DL128-DM128-DN128</f>
        <v>112.32244899999995</v>
      </c>
      <c r="DP128" s="414">
        <v>98.69412700000001</v>
      </c>
      <c r="DQ128" s="121">
        <v>183.95250499999997</v>
      </c>
      <c r="DR128" s="121">
        <v>119.011811</v>
      </c>
      <c r="DS128" s="121">
        <f>Annually!AP136-DP128-DQ128-DR128</f>
        <v>131.72869999999998</v>
      </c>
      <c r="EJ128" s="63"/>
    </row>
    <row r="129" spans="1:169" s="129" customFormat="1" ht="15.75">
      <c r="A129" s="100" t="s">
        <v>104</v>
      </c>
      <c r="B129" s="100" t="s">
        <v>93</v>
      </c>
      <c r="C129" s="101">
        <v>12.8342</v>
      </c>
      <c r="D129" s="101">
        <v>0.007999999999999119</v>
      </c>
      <c r="E129" s="101">
        <v>9.659300000000002</v>
      </c>
      <c r="F129" s="102">
        <v>0</v>
      </c>
      <c r="G129" s="103">
        <v>8.2</v>
      </c>
      <c r="H129" s="101">
        <v>1.274000000000001</v>
      </c>
      <c r="I129" s="101">
        <v>1.0259999999999998</v>
      </c>
      <c r="J129" s="102">
        <f>Annually!H137-SUM(G129:I129)</f>
        <v>0</v>
      </c>
      <c r="K129" s="256">
        <v>5.6</v>
      </c>
      <c r="L129" s="257">
        <v>3.5500000000000007</v>
      </c>
      <c r="M129" s="257">
        <v>-0.05000000000000071</v>
      </c>
      <c r="N129" s="268">
        <f>Annually!I137-Quarterly!M129-L129-K129</f>
        <v>13.799999999999999</v>
      </c>
      <c r="O129" s="256">
        <v>4.879</v>
      </c>
      <c r="P129" s="250">
        <f>23.705-O129</f>
        <v>18.826</v>
      </c>
      <c r="Q129" s="250">
        <v>0</v>
      </c>
      <c r="R129" s="264">
        <f>-Q129-P129-O129+Annually!J137</f>
        <v>23.861000000000004</v>
      </c>
      <c r="S129" s="256">
        <v>16</v>
      </c>
      <c r="T129" s="257">
        <v>5.699999999999999</v>
      </c>
      <c r="U129" s="257">
        <v>16.056</v>
      </c>
      <c r="V129" s="257">
        <v>6.344000000000001</v>
      </c>
      <c r="W129" s="256">
        <v>18.239</v>
      </c>
      <c r="X129" s="257">
        <v>12.594000000000001</v>
      </c>
      <c r="Y129" s="257">
        <v>16.566999999999997</v>
      </c>
      <c r="Z129" s="257">
        <f>Annually!L137-Y129-X129-W129</f>
        <v>19.7</v>
      </c>
      <c r="AA129" s="256">
        <v>23.207</v>
      </c>
      <c r="AB129" s="257">
        <v>8.203</v>
      </c>
      <c r="AC129" s="257">
        <v>10.219000000000001</v>
      </c>
      <c r="AD129" s="257">
        <f>Annually!M137-AC129-AB129-AA129</f>
        <v>12.908701</v>
      </c>
      <c r="AE129" s="256">
        <v>23.586</v>
      </c>
      <c r="AF129" s="257">
        <v>55.15628000000001</v>
      </c>
      <c r="AG129" s="257">
        <v>25.098</v>
      </c>
      <c r="AH129" s="257">
        <f>Annually!N137-AG129-AF129-AE129</f>
        <v>17.498499999999993</v>
      </c>
      <c r="AI129" s="465">
        <v>26.852</v>
      </c>
      <c r="AJ129" s="257">
        <v>24.288999999999998</v>
      </c>
      <c r="AK129" s="257">
        <v>22.068500000000004</v>
      </c>
      <c r="AL129" s="257">
        <f>Annually!O137-AK129-AJ129-AI129</f>
        <v>17.6395</v>
      </c>
      <c r="AM129" s="465">
        <v>37.927499999999995</v>
      </c>
      <c r="AN129" s="257">
        <v>54.013000000000005</v>
      </c>
      <c r="AO129" s="257">
        <v>46.229500000000016</v>
      </c>
      <c r="AP129" s="252">
        <f>Annually!P137-AM129-AN129-AO129</f>
        <v>72.89486999999995</v>
      </c>
      <c r="AQ129" s="465">
        <v>107.68588</v>
      </c>
      <c r="AR129" s="257">
        <v>111.36343000000002</v>
      </c>
      <c r="AS129" s="257">
        <v>95.59555499999996</v>
      </c>
      <c r="AT129" s="252">
        <f>Annually!Q137-AQ129-AR129-AS129</f>
        <v>87.97788300000002</v>
      </c>
      <c r="AU129" s="465">
        <v>53.43986</v>
      </c>
      <c r="AV129" s="257">
        <v>81.092073</v>
      </c>
      <c r="AW129" s="257">
        <v>35.846883999999996</v>
      </c>
      <c r="AX129" s="268">
        <f>Annually!R137-AU129-AV129-AW129</f>
        <v>42.949157999999976</v>
      </c>
      <c r="AY129" s="256">
        <v>45.967183</v>
      </c>
      <c r="AZ129" s="570">
        <v>96.430826</v>
      </c>
      <c r="BA129" s="257">
        <v>90.020456</v>
      </c>
      <c r="BB129" s="268">
        <f>Annually!S137-AY129-AZ129-BA129</f>
        <v>106.31962000000004</v>
      </c>
      <c r="BC129" s="256">
        <v>104.354048</v>
      </c>
      <c r="BD129" s="570">
        <v>32.27577</v>
      </c>
      <c r="BE129" s="570">
        <v>70.39908299999999</v>
      </c>
      <c r="BF129" s="268">
        <f>Annually!T137-BC129-BD129-BE129</f>
        <v>98.87723000000003</v>
      </c>
      <c r="BG129" s="256">
        <v>60.78893000000001</v>
      </c>
      <c r="BH129" s="570">
        <v>51.964240000000004</v>
      </c>
      <c r="BI129" s="570">
        <v>41.85827999999998</v>
      </c>
      <c r="BJ129" s="268">
        <f>Annually!U137-BG129-BH129-BI129</f>
        <v>56.13968999999999</v>
      </c>
      <c r="BK129" s="523"/>
      <c r="BL129" s="145"/>
      <c r="BM129" s="145"/>
      <c r="BN129" s="145"/>
      <c r="BO129" s="146"/>
      <c r="BP129" s="147"/>
      <c r="BQ129" s="148"/>
      <c r="BR129" s="148"/>
      <c r="BS129" s="149"/>
      <c r="BT129" s="150"/>
      <c r="BU129" s="151"/>
      <c r="BV129" s="151"/>
      <c r="BW129" s="152"/>
      <c r="BX129" s="153"/>
      <c r="BY129" s="154"/>
      <c r="BZ129" s="154"/>
      <c r="CA129" s="155"/>
      <c r="CB129" s="262"/>
      <c r="CC129" s="104"/>
      <c r="CD129" s="104"/>
      <c r="CE129" s="104"/>
      <c r="CF129" s="262"/>
      <c r="CG129" s="104"/>
      <c r="CH129" s="104"/>
      <c r="CI129" s="104"/>
      <c r="CJ129" s="262"/>
      <c r="CK129" s="104"/>
      <c r="CL129" s="104"/>
      <c r="CM129" s="409"/>
      <c r="CN129" s="413"/>
      <c r="CO129" s="104"/>
      <c r="CP129" s="104"/>
      <c r="CQ129" s="104"/>
      <c r="CR129" s="478"/>
      <c r="CS129" s="104"/>
      <c r="CT129" s="104"/>
      <c r="CU129" s="104"/>
      <c r="CV129" s="413"/>
      <c r="CW129" s="104"/>
      <c r="CX129" s="104"/>
      <c r="CY129" s="111"/>
      <c r="CZ129" s="413"/>
      <c r="DA129" s="104"/>
      <c r="DB129" s="104"/>
      <c r="DC129" s="111"/>
      <c r="DD129" s="413"/>
      <c r="DE129" s="104"/>
      <c r="DF129" s="104"/>
      <c r="DG129" s="111"/>
      <c r="DH129" s="413"/>
      <c r="DI129" s="104"/>
      <c r="DJ129" s="104"/>
      <c r="DK129" s="111"/>
      <c r="DL129" s="413"/>
      <c r="DM129" s="104"/>
      <c r="DN129" s="104"/>
      <c r="DO129" s="111"/>
      <c r="DP129" s="413"/>
      <c r="DQ129" s="104"/>
      <c r="DR129" s="104"/>
      <c r="DS129" s="111"/>
      <c r="DT129" s="156"/>
      <c r="DU129" s="61"/>
      <c r="DV129" s="156"/>
      <c r="DW129" s="156"/>
      <c r="DX129" s="156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127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156"/>
    </row>
    <row r="130" spans="1:140" ht="15.75">
      <c r="A130" s="116" t="s">
        <v>61</v>
      </c>
      <c r="B130" s="116" t="s">
        <v>62</v>
      </c>
      <c r="C130" s="118">
        <v>123.72</v>
      </c>
      <c r="D130" s="118">
        <v>107.65</v>
      </c>
      <c r="E130" s="118">
        <v>96.90999999999997</v>
      </c>
      <c r="F130" s="119">
        <v>121.73500000000001</v>
      </c>
      <c r="G130" s="120">
        <v>109.5</v>
      </c>
      <c r="H130" s="118">
        <v>114.535</v>
      </c>
      <c r="I130" s="118">
        <v>106.16499999999999</v>
      </c>
      <c r="J130" s="119">
        <f>Annually!H138-SUM(G130:I130)</f>
        <v>119</v>
      </c>
      <c r="K130" s="259">
        <f>111.67</f>
        <v>111.67</v>
      </c>
      <c r="L130" s="252">
        <v>116.73</v>
      </c>
      <c r="M130" s="252">
        <v>109.27999999999999</v>
      </c>
      <c r="N130" s="267">
        <f>Annually!I138-Quarterly!M130-L130-K130</f>
        <v>121.12000000000002</v>
      </c>
      <c r="O130" s="259">
        <v>125.11</v>
      </c>
      <c r="P130" s="251">
        <f>276.98-O130</f>
        <v>151.87</v>
      </c>
      <c r="Q130" s="251">
        <v>155.20799999999997</v>
      </c>
      <c r="R130" s="266">
        <f>-Q130-P130-O130+Annually!J138</f>
        <v>139.23199999999997</v>
      </c>
      <c r="S130" s="259">
        <v>152</v>
      </c>
      <c r="T130" s="252">
        <v>163.5</v>
      </c>
      <c r="U130" s="252">
        <v>184.411</v>
      </c>
      <c r="V130" s="252">
        <v>155.78900000000004</v>
      </c>
      <c r="W130" s="259">
        <v>166.5</v>
      </c>
      <c r="X130" s="252">
        <v>164.47500000000002</v>
      </c>
      <c r="Y130" s="252">
        <v>173.325</v>
      </c>
      <c r="Z130" s="252">
        <f>Annually!L138-Y130-X130-W130</f>
        <v>141.3</v>
      </c>
      <c r="AA130" s="259">
        <v>153.904</v>
      </c>
      <c r="AB130" s="252">
        <v>141.95600000000002</v>
      </c>
      <c r="AC130" s="252">
        <v>150.49</v>
      </c>
      <c r="AD130" s="252">
        <f>Annually!M138-AC130-AB130-AA130</f>
        <v>138.75</v>
      </c>
      <c r="AE130" s="259">
        <v>163.53147</v>
      </c>
      <c r="AF130" s="252">
        <v>182.44583999999998</v>
      </c>
      <c r="AG130" s="257">
        <v>193.93959999999993</v>
      </c>
      <c r="AH130" s="252">
        <f>Annually!N138-AG130-AF130-AE130</f>
        <v>222.54885000000013</v>
      </c>
      <c r="AI130" s="275">
        <v>203.6751</v>
      </c>
      <c r="AJ130" s="252">
        <v>206.37219999999996</v>
      </c>
      <c r="AK130" s="252">
        <v>227.7854000000001</v>
      </c>
      <c r="AL130" s="252">
        <f>Annually!O138-AK130-AJ130-AI130</f>
        <v>244.66464999999994</v>
      </c>
      <c r="AM130" s="275">
        <v>249.46189999999999</v>
      </c>
      <c r="AN130" s="252">
        <v>225.91934999999998</v>
      </c>
      <c r="AO130" s="252">
        <v>248.7945</v>
      </c>
      <c r="AP130" s="252">
        <f>Annually!P138-AM130-AN130-AO130</f>
        <v>291.1038500000001</v>
      </c>
      <c r="AQ130" s="275">
        <v>315.25444999999996</v>
      </c>
      <c r="AR130" s="252">
        <v>315.87534999999997</v>
      </c>
      <c r="AS130" s="252">
        <v>315.2215924600002</v>
      </c>
      <c r="AT130" s="252">
        <f>Annually!Q138-AQ130-AR130-AS130</f>
        <v>306.59469999999993</v>
      </c>
      <c r="AU130" s="275">
        <v>244.80482</v>
      </c>
      <c r="AV130" s="252">
        <v>322.7982</v>
      </c>
      <c r="AW130" s="252">
        <v>319.6790999999999</v>
      </c>
      <c r="AX130" s="267">
        <f>Annually!R138-AU130-AV130-AW130</f>
        <v>292.9064100000002</v>
      </c>
      <c r="AY130" s="259">
        <v>318.86965000000004</v>
      </c>
      <c r="AZ130" s="252">
        <v>332.4537</v>
      </c>
      <c r="BA130" s="252">
        <v>399.13295</v>
      </c>
      <c r="BB130" s="267">
        <f>Annually!S138-AY130-AZ130-BA130</f>
        <v>412.1373999999998</v>
      </c>
      <c r="BC130" s="259">
        <v>426.08813</v>
      </c>
      <c r="BD130" s="252">
        <v>404.0195</v>
      </c>
      <c r="BE130" s="252">
        <v>476.75199999999995</v>
      </c>
      <c r="BF130" s="267">
        <f>Annually!T138-BC130-BD130-BE130</f>
        <v>515.5365</v>
      </c>
      <c r="BG130" s="259">
        <v>492.56370000000004</v>
      </c>
      <c r="BH130" s="252">
        <v>482.4164999999999</v>
      </c>
      <c r="BI130" s="252">
        <v>418.66280000000006</v>
      </c>
      <c r="BJ130" s="267">
        <f>Annually!U138-BG130-BH130-BI130</f>
        <v>535.1927</v>
      </c>
      <c r="BK130" s="523"/>
      <c r="BL130" s="158">
        <v>75.82839999999999</v>
      </c>
      <c r="BM130" s="158">
        <v>78.05539999999999</v>
      </c>
      <c r="BN130" s="158">
        <v>45.38480000000004</v>
      </c>
      <c r="BO130" s="159">
        <v>63.33965799999996</v>
      </c>
      <c r="BP130" s="160">
        <v>47.8</v>
      </c>
      <c r="BQ130" s="161">
        <v>64.57198</v>
      </c>
      <c r="BR130" s="161">
        <v>44.52802000000001</v>
      </c>
      <c r="BS130" s="162">
        <f>Annually!AC138-SUM(Quarterly!BP130:BR130)</f>
        <v>38.69999999999999</v>
      </c>
      <c r="BT130" s="163">
        <v>43.7</v>
      </c>
      <c r="BU130" s="164">
        <v>53.8231</v>
      </c>
      <c r="BV130" s="164">
        <v>41.77689999999998</v>
      </c>
      <c r="BW130" s="165">
        <f>Annually!AD138-Quarterly!BV130-Quarterly!BU130-Quarterly!BT130</f>
        <v>39.20000000000002</v>
      </c>
      <c r="BX130" s="163">
        <v>54.3</v>
      </c>
      <c r="BY130" s="164">
        <f>122.2-BX130</f>
        <v>67.9</v>
      </c>
      <c r="BZ130" s="164">
        <v>70.10000000000001</v>
      </c>
      <c r="CA130" s="166">
        <f>-BZ130-BY130-BX130+Annually!AE138</f>
        <v>50.29334</v>
      </c>
      <c r="CB130" s="263">
        <v>67.7</v>
      </c>
      <c r="CC130" s="121">
        <v>68.2</v>
      </c>
      <c r="CD130" s="121">
        <v>93.78059</v>
      </c>
      <c r="CE130" s="121">
        <v>61.21940999999998</v>
      </c>
      <c r="CF130" s="263">
        <v>67.642</v>
      </c>
      <c r="CG130" s="121">
        <v>54.65015000000001</v>
      </c>
      <c r="CH130" s="121">
        <v>65.00785000000002</v>
      </c>
      <c r="CI130" s="121">
        <f>Annually!AG138-CH130-CG130-CF130</f>
        <v>43.09999999999998</v>
      </c>
      <c r="CJ130" s="263">
        <v>51.43774</v>
      </c>
      <c r="CK130" s="121">
        <v>51.609620000000014</v>
      </c>
      <c r="CL130" s="121">
        <v>54.436939999999986</v>
      </c>
      <c r="CM130" s="410">
        <f>Annually!AH138-CL130-CK130-CJ130</f>
        <v>31.542799999999993</v>
      </c>
      <c r="CN130" s="414">
        <v>59.46808</v>
      </c>
      <c r="CO130" s="121">
        <v>59.20148999999999</v>
      </c>
      <c r="CP130" s="121">
        <v>63.80930000000001</v>
      </c>
      <c r="CQ130" s="121">
        <f>Annually!AI138-CP130-CO130-CN130</f>
        <v>99.27471000000001</v>
      </c>
      <c r="CR130" s="479">
        <v>74.17454000000001</v>
      </c>
      <c r="CS130" s="121">
        <v>109.36860000000001</v>
      </c>
      <c r="CT130" s="121">
        <v>128.93969799999994</v>
      </c>
      <c r="CU130" s="121">
        <f>Annually!AJ138-CT130-CS130-CR130</f>
        <v>142.25251</v>
      </c>
      <c r="CV130" s="414">
        <v>113.27409</v>
      </c>
      <c r="CW130" s="121">
        <v>79.40251</v>
      </c>
      <c r="CX130" s="121">
        <v>98.05334999999997</v>
      </c>
      <c r="CY130" s="121">
        <f>Annually!AK138-CV130-CW130-CX130</f>
        <v>121.55265000000009</v>
      </c>
      <c r="CZ130" s="414">
        <f>CZ132+CZ134</f>
        <v>134.91001</v>
      </c>
      <c r="DA130" s="121">
        <f aca="true" t="shared" si="505" ref="DA130:DJ130">DA132+DA134</f>
        <v>135.85954999999996</v>
      </c>
      <c r="DB130" s="121">
        <f t="shared" si="505"/>
        <v>126.60418000000004</v>
      </c>
      <c r="DC130" s="121">
        <f t="shared" si="505"/>
        <v>133.25832000000003</v>
      </c>
      <c r="DD130" s="414">
        <f t="shared" si="505"/>
        <v>129.75903499999998</v>
      </c>
      <c r="DE130" s="121">
        <f t="shared" si="505"/>
        <v>171.54994600000003</v>
      </c>
      <c r="DF130" s="121">
        <f t="shared" si="505"/>
        <v>196.15543999999994</v>
      </c>
      <c r="DG130" s="121">
        <f>DG132+DG134</f>
        <v>189.63939000000002</v>
      </c>
      <c r="DH130" s="414">
        <f t="shared" si="505"/>
        <v>206.23827000000003</v>
      </c>
      <c r="DI130" s="121">
        <f t="shared" si="505"/>
        <v>176.15147000000005</v>
      </c>
      <c r="DJ130" s="121">
        <f t="shared" si="505"/>
        <v>154.55846000000003</v>
      </c>
      <c r="DK130" s="121">
        <f aca="true" t="shared" si="506" ref="DK130:DP130">DK132+DK134</f>
        <v>299.108788</v>
      </c>
      <c r="DL130" s="414">
        <f t="shared" si="506"/>
        <v>289.978444</v>
      </c>
      <c r="DM130" s="121">
        <f t="shared" si="506"/>
        <v>348.068001</v>
      </c>
      <c r="DN130" s="121">
        <f t="shared" si="506"/>
        <v>328.79740000000004</v>
      </c>
      <c r="DO130" s="121">
        <f t="shared" si="506"/>
        <v>345.8563499999999</v>
      </c>
      <c r="DP130" s="414">
        <f t="shared" si="506"/>
        <v>348.75226200000003</v>
      </c>
      <c r="DQ130" s="121">
        <f>DQ132+DQ134</f>
        <v>328.29366600000003</v>
      </c>
      <c r="DR130" s="121">
        <f>DR132+DR134</f>
        <v>372.889569</v>
      </c>
      <c r="DS130" s="121">
        <f>DS132+DS134</f>
        <v>361.1880749999999</v>
      </c>
      <c r="EJ130" s="63"/>
    </row>
    <row r="131" spans="1:169" s="129" customFormat="1" ht="15.75">
      <c r="A131" s="100" t="s">
        <v>104</v>
      </c>
      <c r="B131" s="100" t="s">
        <v>93</v>
      </c>
      <c r="C131" s="101">
        <v>47.872</v>
      </c>
      <c r="D131" s="101">
        <v>32.259</v>
      </c>
      <c r="E131" s="101">
        <v>46.6931</v>
      </c>
      <c r="F131" s="102">
        <v>59.598</v>
      </c>
      <c r="G131" s="103">
        <v>64.1</v>
      </c>
      <c r="H131" s="101">
        <v>49.93400000000001</v>
      </c>
      <c r="I131" s="101">
        <v>60.266000000000005</v>
      </c>
      <c r="J131" s="102">
        <f>Annually!H139-SUM(G131:I131)</f>
        <v>82.30000000000001</v>
      </c>
      <c r="K131" s="256">
        <f>64.46-0.09</f>
        <v>64.36999999999999</v>
      </c>
      <c r="L131" s="257">
        <v>66.57200000000002</v>
      </c>
      <c r="M131" s="257">
        <v>69.371</v>
      </c>
      <c r="N131" s="268">
        <f>Annually!I139-Quarterly!M131-L131-K131</f>
        <v>79.587</v>
      </c>
      <c r="O131" s="256">
        <v>70.08099999999999</v>
      </c>
      <c r="P131" s="250">
        <f>151.899-0.1-O131</f>
        <v>81.71800000000002</v>
      </c>
      <c r="Q131" s="250">
        <v>90.501</v>
      </c>
      <c r="R131" s="264">
        <f>-Q131-P131-O131+Annually!J139</f>
        <v>84.09309999999999</v>
      </c>
      <c r="S131" s="256">
        <v>87</v>
      </c>
      <c r="T131" s="257">
        <v>88.6</v>
      </c>
      <c r="U131" s="257">
        <v>95.6</v>
      </c>
      <c r="V131" s="257">
        <v>93.19999999999999</v>
      </c>
      <c r="W131" s="256">
        <v>102.295</v>
      </c>
      <c r="X131" s="257">
        <v>105.266</v>
      </c>
      <c r="Y131" s="257">
        <v>110.73899999999999</v>
      </c>
      <c r="Z131" s="257">
        <f>Annually!L139-Y131-X131-W131</f>
        <v>98.7</v>
      </c>
      <c r="AA131" s="256">
        <v>104.332</v>
      </c>
      <c r="AB131" s="257">
        <v>87.762</v>
      </c>
      <c r="AC131" s="257">
        <v>98.041</v>
      </c>
      <c r="AD131" s="257">
        <f>Annually!M139-AC131-AB131-AA131</f>
        <v>104.47000000000003</v>
      </c>
      <c r="AE131" s="256">
        <v>104.163</v>
      </c>
      <c r="AF131" s="257">
        <v>125.12000000000002</v>
      </c>
      <c r="AG131" s="257">
        <v>128.81899999999996</v>
      </c>
      <c r="AH131" s="257">
        <f>Annually!N139-AG131-AF131-AE131</f>
        <v>123.51747999999999</v>
      </c>
      <c r="AI131" s="465">
        <v>128.937</v>
      </c>
      <c r="AJ131" s="257">
        <v>92.01899999999998</v>
      </c>
      <c r="AK131" s="257">
        <v>102.54245</v>
      </c>
      <c r="AL131" s="257">
        <f>Annually!O139-AK131-AJ131-AI131</f>
        <v>105.227</v>
      </c>
      <c r="AM131" s="465">
        <v>136.234</v>
      </c>
      <c r="AN131" s="257">
        <v>148.75699999999998</v>
      </c>
      <c r="AO131" s="257">
        <v>146.116</v>
      </c>
      <c r="AP131" s="252">
        <f>Annually!P139-AM131-AN131-AO131</f>
        <v>171.2236</v>
      </c>
      <c r="AQ131" s="465">
        <v>178.334</v>
      </c>
      <c r="AR131" s="257">
        <v>179.69979999999998</v>
      </c>
      <c r="AS131" s="257">
        <v>189.98900399999997</v>
      </c>
      <c r="AT131" s="252">
        <f>Annually!Q139-AQ131-AR131-AS131</f>
        <v>170.80599999999998</v>
      </c>
      <c r="AU131" s="465">
        <v>117.001</v>
      </c>
      <c r="AV131" s="257">
        <v>151.638</v>
      </c>
      <c r="AW131" s="257">
        <v>122.67099999999999</v>
      </c>
      <c r="AX131" s="268">
        <f>Annually!R139-AU131-AV131-AW131</f>
        <v>85.48700000000005</v>
      </c>
      <c r="AY131" s="256">
        <v>123.944</v>
      </c>
      <c r="AZ131" s="257">
        <v>160.428</v>
      </c>
      <c r="BA131" s="257">
        <v>171.762</v>
      </c>
      <c r="BB131" s="268">
        <f>Annually!S139-AY131-AZ131-BA131</f>
        <v>126.18599999999992</v>
      </c>
      <c r="BC131" s="256">
        <v>142.096</v>
      </c>
      <c r="BD131" s="257">
        <v>64.678</v>
      </c>
      <c r="BE131" s="257">
        <v>137.00900000000001</v>
      </c>
      <c r="BF131" s="268">
        <f>Annually!T139-BC131-BD131-BE131</f>
        <v>181.1218</v>
      </c>
      <c r="BG131" s="256">
        <v>149.645</v>
      </c>
      <c r="BH131" s="257">
        <v>153.87699999999998</v>
      </c>
      <c r="BI131" s="257">
        <v>71.49700000000001</v>
      </c>
      <c r="BJ131" s="268">
        <f>Annually!U139-BG131-BH131-BI131</f>
        <v>97.83100000000005</v>
      </c>
      <c r="BK131" s="523"/>
      <c r="BL131" s="145"/>
      <c r="BM131" s="145"/>
      <c r="BN131" s="145"/>
      <c r="BO131" s="146"/>
      <c r="BP131" s="147"/>
      <c r="BQ131" s="148"/>
      <c r="BR131" s="148"/>
      <c r="BS131" s="149"/>
      <c r="BT131" s="150"/>
      <c r="BU131" s="151"/>
      <c r="BV131" s="151"/>
      <c r="BW131" s="152"/>
      <c r="BX131" s="153"/>
      <c r="BY131" s="154"/>
      <c r="BZ131" s="154"/>
      <c r="CA131" s="155"/>
      <c r="CB131" s="262"/>
      <c r="CC131" s="104"/>
      <c r="CD131" s="104"/>
      <c r="CE131" s="104"/>
      <c r="CF131" s="262"/>
      <c r="CG131" s="104"/>
      <c r="CH131" s="104"/>
      <c r="CI131" s="104"/>
      <c r="CJ131" s="262"/>
      <c r="CK131" s="104"/>
      <c r="CL131" s="104"/>
      <c r="CM131" s="409"/>
      <c r="CN131" s="413"/>
      <c r="CO131" s="104"/>
      <c r="CP131" s="104"/>
      <c r="CQ131" s="104"/>
      <c r="CR131" s="478"/>
      <c r="CS131" s="104"/>
      <c r="CT131" s="104"/>
      <c r="CU131" s="104"/>
      <c r="CV131" s="413"/>
      <c r="CW131" s="104"/>
      <c r="CX131" s="104"/>
      <c r="CY131" s="111"/>
      <c r="CZ131" s="413"/>
      <c r="DA131" s="104"/>
      <c r="DB131" s="104"/>
      <c r="DC131" s="111"/>
      <c r="DD131" s="413"/>
      <c r="DE131" s="104"/>
      <c r="DF131" s="104"/>
      <c r="DG131" s="111"/>
      <c r="DH131" s="413"/>
      <c r="DI131" s="104"/>
      <c r="DJ131" s="104"/>
      <c r="DK131" s="111"/>
      <c r="DL131" s="413"/>
      <c r="DM131" s="104"/>
      <c r="DN131" s="104"/>
      <c r="DO131" s="111"/>
      <c r="DP131" s="413"/>
      <c r="DQ131" s="104"/>
      <c r="DR131" s="104"/>
      <c r="DS131" s="111"/>
      <c r="DT131" s="156"/>
      <c r="DU131" s="61"/>
      <c r="DV131" s="156"/>
      <c r="DW131" s="156"/>
      <c r="DX131" s="156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127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156"/>
    </row>
    <row r="132" spans="1:169" s="129" customFormat="1" ht="15.75">
      <c r="A132" s="566" t="s">
        <v>271</v>
      </c>
      <c r="B132" s="566" t="s">
        <v>270</v>
      </c>
      <c r="C132" s="101"/>
      <c r="D132" s="101"/>
      <c r="E132" s="101"/>
      <c r="F132" s="102"/>
      <c r="G132" s="103"/>
      <c r="H132" s="101"/>
      <c r="I132" s="101"/>
      <c r="J132" s="102"/>
      <c r="K132" s="256"/>
      <c r="L132" s="257"/>
      <c r="M132" s="257"/>
      <c r="N132" s="268"/>
      <c r="O132" s="256"/>
      <c r="P132" s="250"/>
      <c r="Q132" s="250"/>
      <c r="R132" s="264"/>
      <c r="S132" s="256"/>
      <c r="T132" s="257"/>
      <c r="U132" s="257"/>
      <c r="V132" s="257"/>
      <c r="W132" s="256"/>
      <c r="X132" s="257"/>
      <c r="Y132" s="257"/>
      <c r="Z132" s="257"/>
      <c r="AA132" s="256"/>
      <c r="AB132" s="257"/>
      <c r="AC132" s="257"/>
      <c r="AD132" s="257"/>
      <c r="AE132" s="256"/>
      <c r="AF132" s="257"/>
      <c r="AG132" s="257"/>
      <c r="AH132" s="257"/>
      <c r="AI132" s="465"/>
      <c r="AJ132" s="257"/>
      <c r="AK132" s="257"/>
      <c r="AL132" s="257"/>
      <c r="AM132" s="465"/>
      <c r="AN132" s="257"/>
      <c r="AO132" s="257"/>
      <c r="AP132" s="252"/>
      <c r="AQ132" s="567">
        <v>142.37945</v>
      </c>
      <c r="AR132" s="568">
        <v>137.20435</v>
      </c>
      <c r="AS132" s="568">
        <v>129.67959245999998</v>
      </c>
      <c r="AT132" s="568">
        <v>139.5747</v>
      </c>
      <c r="AU132" s="567">
        <v>130.94482</v>
      </c>
      <c r="AV132" s="568">
        <v>144.60231</v>
      </c>
      <c r="AW132" s="568">
        <v>105.50725</v>
      </c>
      <c r="AX132" s="592">
        <v>103.63713</v>
      </c>
      <c r="AY132" s="593">
        <v>56.11406099999999</v>
      </c>
      <c r="AZ132" s="568">
        <v>106.77160000000002</v>
      </c>
      <c r="BA132" s="568">
        <v>109.63406</v>
      </c>
      <c r="BB132" s="267">
        <f>Annually!S140-AY132-AZ132-BA132</f>
        <v>127.23738</v>
      </c>
      <c r="BC132" s="593">
        <v>133.62413</v>
      </c>
      <c r="BD132" s="568">
        <v>169.0325</v>
      </c>
      <c r="BE132" s="568">
        <v>167.44699999999992</v>
      </c>
      <c r="BF132" s="267">
        <f>Annually!T140-BC132-BD132-BE132</f>
        <v>191.42349999999996</v>
      </c>
      <c r="BG132" s="593">
        <v>175.0187</v>
      </c>
      <c r="BH132" s="568">
        <v>160.8615</v>
      </c>
      <c r="BI132" s="568">
        <v>99.97279999999998</v>
      </c>
      <c r="BJ132" s="267">
        <f>Annually!U140-BG132-BH132-BI132</f>
        <v>129.6287000000001</v>
      </c>
      <c r="BK132" s="523"/>
      <c r="BL132" s="145"/>
      <c r="BM132" s="145"/>
      <c r="BN132" s="145"/>
      <c r="BO132" s="146"/>
      <c r="BP132" s="147"/>
      <c r="BQ132" s="148"/>
      <c r="BR132" s="148"/>
      <c r="BS132" s="149"/>
      <c r="BT132" s="150"/>
      <c r="BU132" s="151"/>
      <c r="BV132" s="151"/>
      <c r="BW132" s="152"/>
      <c r="BX132" s="153"/>
      <c r="BY132" s="154"/>
      <c r="BZ132" s="154"/>
      <c r="CA132" s="155"/>
      <c r="CB132" s="262"/>
      <c r="CC132" s="104"/>
      <c r="CD132" s="104"/>
      <c r="CE132" s="104"/>
      <c r="CF132" s="262"/>
      <c r="CG132" s="104"/>
      <c r="CH132" s="104"/>
      <c r="CI132" s="104"/>
      <c r="CJ132" s="262"/>
      <c r="CK132" s="104"/>
      <c r="CL132" s="104"/>
      <c r="CM132" s="409"/>
      <c r="CN132" s="413"/>
      <c r="CO132" s="104"/>
      <c r="CP132" s="104"/>
      <c r="CQ132" s="104"/>
      <c r="CR132" s="478"/>
      <c r="CS132" s="104"/>
      <c r="CT132" s="104"/>
      <c r="CU132" s="104"/>
      <c r="CV132" s="413"/>
      <c r="CW132" s="104"/>
      <c r="CX132" s="104"/>
      <c r="CY132" s="111"/>
      <c r="CZ132" s="414">
        <v>134.91001</v>
      </c>
      <c r="DA132" s="121">
        <v>135.85954999999996</v>
      </c>
      <c r="DB132" s="121">
        <v>126.60418000000004</v>
      </c>
      <c r="DC132" s="121">
        <v>133.25832000000003</v>
      </c>
      <c r="DD132" s="414">
        <v>129.75903499999998</v>
      </c>
      <c r="DE132" s="121">
        <v>142.00555600000004</v>
      </c>
      <c r="DF132" s="121">
        <v>106.26495999999996</v>
      </c>
      <c r="DG132" s="121">
        <f>Annually!AM140-DD132-DE132-DF132</f>
        <v>90.56835</v>
      </c>
      <c r="DH132" s="414">
        <v>56.96287000000004</v>
      </c>
      <c r="DI132" s="121">
        <v>95.84732000000002</v>
      </c>
      <c r="DJ132" s="121">
        <v>88.73879000000002</v>
      </c>
      <c r="DK132" s="121">
        <f>Annually!AN140-DH132-DI132-DJ132</f>
        <v>121.05057500000001</v>
      </c>
      <c r="DL132" s="414">
        <v>139.73817400000004</v>
      </c>
      <c r="DM132" s="121">
        <v>162.838011</v>
      </c>
      <c r="DN132" s="121">
        <v>145.49040000000005</v>
      </c>
      <c r="DO132" s="121">
        <f>Annually!AO140-DL132-DM132-DN132</f>
        <v>162.02934999999994</v>
      </c>
      <c r="DP132" s="414">
        <v>168.19626200000002</v>
      </c>
      <c r="DQ132" s="121">
        <v>150.60288600000004</v>
      </c>
      <c r="DR132" s="121">
        <v>106.55445900000001</v>
      </c>
      <c r="DS132" s="121">
        <f>Annually!AP140-DP132-DQ132-DR132</f>
        <v>114.30007500000002</v>
      </c>
      <c r="DT132" s="156"/>
      <c r="DU132" s="61"/>
      <c r="DV132" s="156"/>
      <c r="DW132" s="156"/>
      <c r="DX132" s="156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127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156"/>
    </row>
    <row r="133" spans="1:169" s="129" customFormat="1" ht="15.75">
      <c r="A133" s="100" t="s">
        <v>99</v>
      </c>
      <c r="B133" s="100" t="s">
        <v>93</v>
      </c>
      <c r="C133" s="101"/>
      <c r="D133" s="101"/>
      <c r="E133" s="101"/>
      <c r="F133" s="102"/>
      <c r="G133" s="103"/>
      <c r="H133" s="101"/>
      <c r="I133" s="101"/>
      <c r="J133" s="102"/>
      <c r="K133" s="256"/>
      <c r="L133" s="257"/>
      <c r="M133" s="257"/>
      <c r="N133" s="268"/>
      <c r="O133" s="256"/>
      <c r="P133" s="250"/>
      <c r="Q133" s="250"/>
      <c r="R133" s="264"/>
      <c r="S133" s="256"/>
      <c r="T133" s="257"/>
      <c r="U133" s="257"/>
      <c r="V133" s="257"/>
      <c r="W133" s="256"/>
      <c r="X133" s="257"/>
      <c r="Y133" s="257"/>
      <c r="Z133" s="257"/>
      <c r="AA133" s="256"/>
      <c r="AB133" s="257"/>
      <c r="AC133" s="257"/>
      <c r="AD133" s="257"/>
      <c r="AE133" s="256"/>
      <c r="AF133" s="257"/>
      <c r="AG133" s="257"/>
      <c r="AH133" s="257"/>
      <c r="AI133" s="465"/>
      <c r="AJ133" s="257"/>
      <c r="AK133" s="257"/>
      <c r="AL133" s="257"/>
      <c r="AM133" s="465"/>
      <c r="AN133" s="257"/>
      <c r="AO133" s="257"/>
      <c r="AP133" s="252"/>
      <c r="AQ133" s="569">
        <v>5.459</v>
      </c>
      <c r="AR133" s="570">
        <v>1.0288</v>
      </c>
      <c r="AS133" s="570">
        <v>4.447004</v>
      </c>
      <c r="AT133" s="568">
        <v>3.786</v>
      </c>
      <c r="AU133" s="569">
        <v>3.141</v>
      </c>
      <c r="AV133" s="570">
        <v>4.912</v>
      </c>
      <c r="AW133" s="570">
        <v>2.85701</v>
      </c>
      <c r="AX133" s="609">
        <v>5.139</v>
      </c>
      <c r="AY133" s="594">
        <v>4.985</v>
      </c>
      <c r="AZ133" s="570">
        <v>5.8</v>
      </c>
      <c r="BA133" s="570">
        <v>4.644</v>
      </c>
      <c r="BB133" s="268">
        <f>Annually!S141-AY133-AZ133-BA133</f>
        <v>1.1560000000000015</v>
      </c>
      <c r="BC133" s="594">
        <v>2.426</v>
      </c>
      <c r="BD133" s="570">
        <v>6.547</v>
      </c>
      <c r="BE133" s="570">
        <v>7.3349999999999955</v>
      </c>
      <c r="BF133" s="268">
        <f>Annually!T141-BC133-BD133-BE133</f>
        <v>28.294800000000002</v>
      </c>
      <c r="BG133" s="594">
        <v>9.121</v>
      </c>
      <c r="BH133" s="570">
        <v>11.183000000000002</v>
      </c>
      <c r="BI133" s="570">
        <v>13.685490000000003</v>
      </c>
      <c r="BJ133" s="268">
        <f>Annually!U141-BG133-BH133-BI133</f>
        <v>5.242997999999998</v>
      </c>
      <c r="BK133" s="523"/>
      <c r="BL133" s="145"/>
      <c r="BM133" s="145"/>
      <c r="BN133" s="145"/>
      <c r="BO133" s="146"/>
      <c r="BP133" s="147"/>
      <c r="BQ133" s="148"/>
      <c r="BR133" s="148"/>
      <c r="BS133" s="149"/>
      <c r="BT133" s="150"/>
      <c r="BU133" s="151"/>
      <c r="BV133" s="151"/>
      <c r="BW133" s="152"/>
      <c r="BX133" s="153"/>
      <c r="BY133" s="154"/>
      <c r="BZ133" s="154"/>
      <c r="CA133" s="155"/>
      <c r="CB133" s="262"/>
      <c r="CC133" s="104"/>
      <c r="CD133" s="104"/>
      <c r="CE133" s="104"/>
      <c r="CF133" s="262"/>
      <c r="CG133" s="104"/>
      <c r="CH133" s="104"/>
      <c r="CI133" s="104"/>
      <c r="CJ133" s="262"/>
      <c r="CK133" s="104"/>
      <c r="CL133" s="104"/>
      <c r="CM133" s="409"/>
      <c r="CN133" s="413"/>
      <c r="CO133" s="104"/>
      <c r="CP133" s="104"/>
      <c r="CQ133" s="104"/>
      <c r="CR133" s="478"/>
      <c r="CS133" s="104"/>
      <c r="CT133" s="104"/>
      <c r="CU133" s="104"/>
      <c r="CV133" s="413"/>
      <c r="CW133" s="104"/>
      <c r="CX133" s="104"/>
      <c r="CY133" s="111"/>
      <c r="CZ133" s="413"/>
      <c r="DA133" s="104"/>
      <c r="DB133" s="104"/>
      <c r="DC133" s="111"/>
      <c r="DD133" s="413"/>
      <c r="DE133" s="104"/>
      <c r="DF133" s="104"/>
      <c r="DG133" s="111"/>
      <c r="DH133" s="413"/>
      <c r="DI133" s="104"/>
      <c r="DJ133" s="104"/>
      <c r="DK133" s="111"/>
      <c r="DL133" s="413"/>
      <c r="DM133" s="104"/>
      <c r="DN133" s="104"/>
      <c r="DO133" s="111"/>
      <c r="DP133" s="413"/>
      <c r="DQ133" s="104"/>
      <c r="DR133" s="104"/>
      <c r="DS133" s="111"/>
      <c r="DT133" s="156"/>
      <c r="DU133" s="61"/>
      <c r="DV133" s="156"/>
      <c r="DW133" s="156"/>
      <c r="DX133" s="156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127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156"/>
    </row>
    <row r="134" spans="1:169" s="129" customFormat="1" ht="15.75">
      <c r="A134" s="566" t="s">
        <v>272</v>
      </c>
      <c r="B134" s="566" t="s">
        <v>269</v>
      </c>
      <c r="C134" s="101"/>
      <c r="D134" s="101"/>
      <c r="E134" s="101"/>
      <c r="F134" s="102"/>
      <c r="G134" s="103"/>
      <c r="H134" s="101"/>
      <c r="I134" s="101"/>
      <c r="J134" s="102"/>
      <c r="K134" s="256"/>
      <c r="L134" s="257"/>
      <c r="M134" s="257"/>
      <c r="N134" s="268"/>
      <c r="O134" s="256"/>
      <c r="P134" s="250"/>
      <c r="Q134" s="250"/>
      <c r="R134" s="264"/>
      <c r="S134" s="256"/>
      <c r="T134" s="257"/>
      <c r="U134" s="257"/>
      <c r="V134" s="257"/>
      <c r="W134" s="256"/>
      <c r="X134" s="257"/>
      <c r="Y134" s="257"/>
      <c r="Z134" s="257"/>
      <c r="AA134" s="256"/>
      <c r="AB134" s="257"/>
      <c r="AC134" s="257"/>
      <c r="AD134" s="257"/>
      <c r="AE134" s="256"/>
      <c r="AF134" s="257"/>
      <c r="AG134" s="257"/>
      <c r="AH134" s="257"/>
      <c r="AI134" s="465"/>
      <c r="AJ134" s="257"/>
      <c r="AK134" s="257"/>
      <c r="AL134" s="257"/>
      <c r="AM134" s="465"/>
      <c r="AN134" s="257"/>
      <c r="AO134" s="257"/>
      <c r="AP134" s="252"/>
      <c r="AQ134" s="567">
        <v>0</v>
      </c>
      <c r="AR134" s="568">
        <v>0</v>
      </c>
      <c r="AS134" s="568">
        <v>0</v>
      </c>
      <c r="AT134" s="568">
        <v>0</v>
      </c>
      <c r="AU134" s="567">
        <v>0</v>
      </c>
      <c r="AV134" s="568">
        <v>34.10189</v>
      </c>
      <c r="AW134" s="568">
        <v>111.19485</v>
      </c>
      <c r="AX134" s="592">
        <v>115.48728</v>
      </c>
      <c r="AY134" s="593">
        <v>150.901589</v>
      </c>
      <c r="AZ134" s="568">
        <v>79.98910000000001</v>
      </c>
      <c r="BA134" s="568">
        <v>133.05589</v>
      </c>
      <c r="BB134" s="267">
        <f>Annually!S142-AY134-AZ134-BA134</f>
        <v>164.63950000000003</v>
      </c>
      <c r="BC134" s="593">
        <v>161.045</v>
      </c>
      <c r="BD134" s="568">
        <v>179.84</v>
      </c>
      <c r="BE134" s="568">
        <v>179.76899999999998</v>
      </c>
      <c r="BF134" s="267">
        <f>Annually!T142-BC134-BD134-BE134</f>
        <v>171.30200000000005</v>
      </c>
      <c r="BG134" s="593">
        <v>177.024</v>
      </c>
      <c r="BH134" s="568">
        <v>179.17399999999998</v>
      </c>
      <c r="BI134" s="568">
        <v>263.48</v>
      </c>
      <c r="BJ134" s="267">
        <f>Annually!U142-BG134-BH134-BI134</f>
        <v>322.86199999999997</v>
      </c>
      <c r="BK134" s="523"/>
      <c r="BL134" s="145"/>
      <c r="BM134" s="145"/>
      <c r="BN134" s="145"/>
      <c r="BO134" s="146"/>
      <c r="BP134" s="147"/>
      <c r="BQ134" s="148"/>
      <c r="BR134" s="148"/>
      <c r="BS134" s="149"/>
      <c r="BT134" s="150"/>
      <c r="BU134" s="151"/>
      <c r="BV134" s="151"/>
      <c r="BW134" s="152"/>
      <c r="BX134" s="153"/>
      <c r="BY134" s="154"/>
      <c r="BZ134" s="154"/>
      <c r="CA134" s="155"/>
      <c r="CB134" s="262"/>
      <c r="CC134" s="104"/>
      <c r="CD134" s="104"/>
      <c r="CE134" s="104"/>
      <c r="CF134" s="262"/>
      <c r="CG134" s="104"/>
      <c r="CH134" s="104"/>
      <c r="CI134" s="104"/>
      <c r="CJ134" s="262"/>
      <c r="CK134" s="104"/>
      <c r="CL134" s="104"/>
      <c r="CM134" s="409"/>
      <c r="CN134" s="413"/>
      <c r="CO134" s="104"/>
      <c r="CP134" s="104"/>
      <c r="CQ134" s="104"/>
      <c r="CR134" s="478"/>
      <c r="CS134" s="104"/>
      <c r="CT134" s="104"/>
      <c r="CU134" s="104"/>
      <c r="CV134" s="413"/>
      <c r="CW134" s="104"/>
      <c r="CX134" s="104"/>
      <c r="CY134" s="111"/>
      <c r="CZ134" s="414">
        <v>0</v>
      </c>
      <c r="DA134" s="121">
        <v>0</v>
      </c>
      <c r="DB134" s="121">
        <v>0</v>
      </c>
      <c r="DC134" s="121">
        <v>0</v>
      </c>
      <c r="DD134" s="414">
        <v>0</v>
      </c>
      <c r="DE134" s="121">
        <v>29.54439</v>
      </c>
      <c r="DF134" s="121">
        <v>89.89047999999998</v>
      </c>
      <c r="DG134" s="121">
        <f>Annually!AM142-DD134-DE134-DF134</f>
        <v>99.07104000000002</v>
      </c>
      <c r="DH134" s="414">
        <v>149.2754</v>
      </c>
      <c r="DI134" s="121">
        <v>80.30415000000002</v>
      </c>
      <c r="DJ134" s="121">
        <v>65.81967</v>
      </c>
      <c r="DK134" s="121">
        <f>Annually!AN142-DH134-DI134-DJ134</f>
        <v>178.05821300000002</v>
      </c>
      <c r="DL134" s="414">
        <v>150.24026999999998</v>
      </c>
      <c r="DM134" s="121">
        <v>185.22999</v>
      </c>
      <c r="DN134" s="121">
        <v>183.307</v>
      </c>
      <c r="DO134" s="121">
        <f>Annually!AO142-DL134-DM134-DN134</f>
        <v>183.82699999999997</v>
      </c>
      <c r="DP134" s="414">
        <v>180.556</v>
      </c>
      <c r="DQ134" s="121">
        <v>177.69078</v>
      </c>
      <c r="DR134" s="121">
        <v>266.33511</v>
      </c>
      <c r="DS134" s="121">
        <f>Annually!AP142-DP134-DQ134-DR134</f>
        <v>246.88799999999992</v>
      </c>
      <c r="DT134" s="156"/>
      <c r="DU134" s="61"/>
      <c r="DV134" s="156"/>
      <c r="DW134" s="156"/>
      <c r="DX134" s="156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127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156"/>
    </row>
    <row r="135" spans="1:169" s="129" customFormat="1" ht="15.75">
      <c r="A135" s="100" t="s">
        <v>99</v>
      </c>
      <c r="B135" s="100" t="s">
        <v>93</v>
      </c>
      <c r="C135" s="101"/>
      <c r="D135" s="101"/>
      <c r="E135" s="101"/>
      <c r="F135" s="102"/>
      <c r="G135" s="103"/>
      <c r="H135" s="101"/>
      <c r="I135" s="101"/>
      <c r="J135" s="102"/>
      <c r="K135" s="256"/>
      <c r="L135" s="257"/>
      <c r="M135" s="257"/>
      <c r="N135" s="268"/>
      <c r="O135" s="256"/>
      <c r="P135" s="250"/>
      <c r="Q135" s="250"/>
      <c r="R135" s="264"/>
      <c r="S135" s="256"/>
      <c r="T135" s="257"/>
      <c r="U135" s="257"/>
      <c r="V135" s="257"/>
      <c r="W135" s="256"/>
      <c r="X135" s="257"/>
      <c r="Y135" s="257"/>
      <c r="Z135" s="257"/>
      <c r="AA135" s="256"/>
      <c r="AB135" s="257"/>
      <c r="AC135" s="257"/>
      <c r="AD135" s="257"/>
      <c r="AE135" s="256"/>
      <c r="AF135" s="257"/>
      <c r="AG135" s="257"/>
      <c r="AH135" s="257"/>
      <c r="AI135" s="465"/>
      <c r="AJ135" s="257"/>
      <c r="AK135" s="257"/>
      <c r="AL135" s="257"/>
      <c r="AM135" s="465"/>
      <c r="AN135" s="257"/>
      <c r="AO135" s="257"/>
      <c r="AP135" s="252"/>
      <c r="AQ135" s="569">
        <v>0</v>
      </c>
      <c r="AR135" s="570">
        <v>0</v>
      </c>
      <c r="AS135" s="570">
        <v>0</v>
      </c>
      <c r="AT135" s="568">
        <v>0</v>
      </c>
      <c r="AU135" s="569">
        <v>0</v>
      </c>
      <c r="AV135" s="570">
        <v>2.632</v>
      </c>
      <c r="AW135" s="570">
        <v>16.83699</v>
      </c>
      <c r="AX135" s="609">
        <v>6.566</v>
      </c>
      <c r="AY135" s="594">
        <v>7.165</v>
      </c>
      <c r="AZ135" s="570">
        <v>8.875</v>
      </c>
      <c r="BA135" s="570">
        <v>10.75</v>
      </c>
      <c r="BB135" s="268">
        <f>Annually!S143-AY135-AZ135-BA135</f>
        <v>4.893000000000004</v>
      </c>
      <c r="BC135" s="594">
        <v>8.122</v>
      </c>
      <c r="BD135" s="570">
        <v>2.915</v>
      </c>
      <c r="BE135" s="570">
        <v>0.13799999999999812</v>
      </c>
      <c r="BF135" s="268">
        <f>Annually!T143-BC135-BD135-BE135</f>
        <v>0.2140000000000013</v>
      </c>
      <c r="BG135" s="594">
        <v>0</v>
      </c>
      <c r="BH135" s="570">
        <v>0.328</v>
      </c>
      <c r="BI135" s="570">
        <v>2.58251</v>
      </c>
      <c r="BJ135" s="268">
        <f>Annually!U143-BG135-BH135-BI135</f>
        <v>9.89</v>
      </c>
      <c r="BK135" s="523"/>
      <c r="BL135" s="145"/>
      <c r="BM135" s="145"/>
      <c r="BN135" s="145"/>
      <c r="BO135" s="146"/>
      <c r="BP135" s="147"/>
      <c r="BQ135" s="148"/>
      <c r="BR135" s="148"/>
      <c r="BS135" s="149"/>
      <c r="BT135" s="150"/>
      <c r="BU135" s="151"/>
      <c r="BV135" s="151"/>
      <c r="BW135" s="152"/>
      <c r="BX135" s="153"/>
      <c r="BY135" s="154"/>
      <c r="BZ135" s="154"/>
      <c r="CA135" s="155"/>
      <c r="CB135" s="262"/>
      <c r="CC135" s="104"/>
      <c r="CD135" s="104"/>
      <c r="CE135" s="104"/>
      <c r="CF135" s="262"/>
      <c r="CG135" s="104"/>
      <c r="CH135" s="104"/>
      <c r="CI135" s="104"/>
      <c r="CJ135" s="262"/>
      <c r="CK135" s="104"/>
      <c r="CL135" s="104"/>
      <c r="CM135" s="409"/>
      <c r="CN135" s="413"/>
      <c r="CO135" s="104"/>
      <c r="CP135" s="104"/>
      <c r="CQ135" s="104"/>
      <c r="CR135" s="478"/>
      <c r="CS135" s="104"/>
      <c r="CT135" s="104"/>
      <c r="CU135" s="104"/>
      <c r="CV135" s="413"/>
      <c r="CW135" s="104"/>
      <c r="CX135" s="104"/>
      <c r="CY135" s="111"/>
      <c r="CZ135" s="413"/>
      <c r="DA135" s="104"/>
      <c r="DB135" s="104"/>
      <c r="DC135" s="111"/>
      <c r="DD135" s="413"/>
      <c r="DE135" s="104"/>
      <c r="DF135" s="104"/>
      <c r="DG135" s="111"/>
      <c r="DH135" s="413"/>
      <c r="DI135" s="104"/>
      <c r="DJ135" s="104"/>
      <c r="DK135" s="111"/>
      <c r="DL135" s="413"/>
      <c r="DM135" s="104"/>
      <c r="DN135" s="104"/>
      <c r="DO135" s="111"/>
      <c r="DP135" s="413"/>
      <c r="DQ135" s="104"/>
      <c r="DR135" s="104"/>
      <c r="DS135" s="111"/>
      <c r="DT135" s="156"/>
      <c r="DU135" s="61"/>
      <c r="DV135" s="156"/>
      <c r="DW135" s="156"/>
      <c r="DX135" s="156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127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156"/>
    </row>
    <row r="136" spans="1:140" ht="15.75">
      <c r="A136" s="116" t="s">
        <v>123</v>
      </c>
      <c r="B136" s="116" t="s">
        <v>64</v>
      </c>
      <c r="C136" s="118">
        <v>87.2964</v>
      </c>
      <c r="D136" s="118">
        <v>41.41559999999998</v>
      </c>
      <c r="E136" s="118">
        <v>78.9676</v>
      </c>
      <c r="F136" s="119">
        <v>109.94150000000002</v>
      </c>
      <c r="G136" s="120">
        <v>129.6</v>
      </c>
      <c r="H136" s="118">
        <v>93.7088</v>
      </c>
      <c r="I136" s="118">
        <v>120.49120000000002</v>
      </c>
      <c r="J136" s="119">
        <f>Annually!H144-SUM(G136:I136)</f>
        <v>169.7</v>
      </c>
      <c r="K136" s="259">
        <v>126.7</v>
      </c>
      <c r="L136" s="252">
        <v>131.37080000000003</v>
      </c>
      <c r="M136" s="252">
        <v>128.92219999999998</v>
      </c>
      <c r="N136" s="267">
        <f>Annually!I144-Quarterly!M136-L136-K136</f>
        <v>162.007</v>
      </c>
      <c r="O136" s="259">
        <v>144.0567</v>
      </c>
      <c r="P136" s="251">
        <f>311.8759-O136</f>
        <v>167.8192</v>
      </c>
      <c r="Q136" s="251">
        <v>194.24520000000004</v>
      </c>
      <c r="R136" s="266">
        <f>-Q136-P136-O136+Annually!J144</f>
        <v>182.58277999999996</v>
      </c>
      <c r="S136" s="259">
        <v>187.5</v>
      </c>
      <c r="T136" s="252">
        <v>194.10000000000002</v>
      </c>
      <c r="U136" s="252">
        <v>213.41340000000002</v>
      </c>
      <c r="V136" s="252">
        <v>211.98659999999995</v>
      </c>
      <c r="W136" s="259">
        <v>235.024</v>
      </c>
      <c r="X136" s="252">
        <v>241.2738</v>
      </c>
      <c r="Y136" s="252">
        <v>244.2022</v>
      </c>
      <c r="Z136" s="252">
        <f>Annually!L144-Y136-X136-W136</f>
        <v>216.3</v>
      </c>
      <c r="AA136" s="259">
        <v>224.4425</v>
      </c>
      <c r="AB136" s="252">
        <v>183.7597</v>
      </c>
      <c r="AC136" s="252">
        <v>214.29760000000005</v>
      </c>
      <c r="AD136" s="252">
        <f>Annually!M144-AC136-AB136-AA136</f>
        <v>237.0843999999999</v>
      </c>
      <c r="AE136" s="259">
        <v>240.1984</v>
      </c>
      <c r="AF136" s="252">
        <v>296.2092</v>
      </c>
      <c r="AG136" s="257">
        <v>299.43999999999994</v>
      </c>
      <c r="AH136" s="252">
        <f>Annually!N144-AG136-AF136-AE136</f>
        <v>288.8760000000001</v>
      </c>
      <c r="AI136" s="275">
        <v>297.1445</v>
      </c>
      <c r="AJ136" s="252">
        <v>199.8555</v>
      </c>
      <c r="AK136" s="252">
        <v>221.65890000000002</v>
      </c>
      <c r="AL136" s="252">
        <f>Annually!O144-AK136-AJ136-AI136</f>
        <v>231.11900000000003</v>
      </c>
      <c r="AM136" s="275">
        <v>315.7476</v>
      </c>
      <c r="AN136" s="252">
        <v>350.9585</v>
      </c>
      <c r="AO136" s="252">
        <v>340.7229999999999</v>
      </c>
      <c r="AP136" s="252">
        <f>Annually!P144-AM136-AN136-AO136</f>
        <v>414.2359000000002</v>
      </c>
      <c r="AQ136" s="275">
        <v>425.7534</v>
      </c>
      <c r="AR136" s="252">
        <v>431.93000000000023</v>
      </c>
      <c r="AS136" s="252">
        <v>454.59379999999993</v>
      </c>
      <c r="AT136" s="252">
        <f>Annually!Q144-AQ136-AR136-AS136</f>
        <v>416.6761999999998</v>
      </c>
      <c r="AU136" s="275">
        <v>265.08289999999994</v>
      </c>
      <c r="AV136" s="252">
        <v>382.42804000000007</v>
      </c>
      <c r="AW136" s="252">
        <v>273.8305</v>
      </c>
      <c r="AX136" s="267">
        <f>Annually!R144-AU136-AV136-AW136</f>
        <v>175.06459999999993</v>
      </c>
      <c r="AY136" s="259">
        <v>275.9971</v>
      </c>
      <c r="AZ136" s="252">
        <v>378.8068</v>
      </c>
      <c r="BA136" s="252">
        <v>406.5727</v>
      </c>
      <c r="BB136" s="267">
        <f>Annually!S144-AY136-AZ136-BA136</f>
        <v>292.96019999999993</v>
      </c>
      <c r="BC136" s="259">
        <v>335.8319</v>
      </c>
      <c r="BD136" s="252">
        <v>121.60610000000001</v>
      </c>
      <c r="BE136" s="252">
        <v>340.5684</v>
      </c>
      <c r="BF136" s="267">
        <f>Annually!T144-BC136-BD136-BE136</f>
        <v>466.11390000000006</v>
      </c>
      <c r="BG136" s="259">
        <v>369.94870000000003</v>
      </c>
      <c r="BH136" s="252">
        <v>380.71709999999996</v>
      </c>
      <c r="BI136" s="252">
        <v>137.90419999999995</v>
      </c>
      <c r="BJ136" s="267">
        <f>Annually!U144-BG136-BH136-BI136</f>
        <v>218.6523000000002</v>
      </c>
      <c r="BK136" s="523"/>
      <c r="BL136" s="158">
        <v>80.332</v>
      </c>
      <c r="BM136" s="158">
        <v>44.688</v>
      </c>
      <c r="BN136" s="158">
        <v>79.06850000000001</v>
      </c>
      <c r="BO136" s="159">
        <v>103.00849999999997</v>
      </c>
      <c r="BP136" s="160">
        <v>131.5</v>
      </c>
      <c r="BQ136" s="161">
        <v>98.32400000000001</v>
      </c>
      <c r="BR136" s="161">
        <v>118.67599999999999</v>
      </c>
      <c r="BS136" s="162">
        <f>Annually!AC144-SUM(Quarterly!BP136:BR136)</f>
        <v>169.39999999999998</v>
      </c>
      <c r="BT136" s="163">
        <v>118</v>
      </c>
      <c r="BU136" s="164">
        <v>135.712299</v>
      </c>
      <c r="BV136" s="164">
        <v>135.087701</v>
      </c>
      <c r="BW136" s="165">
        <f>Annually!AD144-Quarterly!BV136-Quarterly!BU136-Quarterly!BT136</f>
        <v>161.79999999999995</v>
      </c>
      <c r="BX136" s="163">
        <v>143.3</v>
      </c>
      <c r="BY136" s="164">
        <f>305.263-BX136</f>
        <v>161.96299999999997</v>
      </c>
      <c r="BZ136" s="164">
        <v>185.33700000000005</v>
      </c>
      <c r="CA136" s="166">
        <f>-BZ136-BY136-BX136+Annually!AE144</f>
        <v>191.92949999999996</v>
      </c>
      <c r="CB136" s="263">
        <v>191.20000000000002</v>
      </c>
      <c r="CC136" s="121">
        <v>192.19999999999996</v>
      </c>
      <c r="CD136" s="121">
        <v>208.51400000000004</v>
      </c>
      <c r="CE136" s="121">
        <v>212.486</v>
      </c>
      <c r="CF136" s="263">
        <v>239.2878</v>
      </c>
      <c r="CG136" s="121">
        <v>243.1352</v>
      </c>
      <c r="CH136" s="121">
        <v>238.27700000000004</v>
      </c>
      <c r="CI136" s="121">
        <f>Annually!AG144-CH136-CG136-CF136</f>
        <v>222.69999999999993</v>
      </c>
      <c r="CJ136" s="263">
        <v>234.392</v>
      </c>
      <c r="CK136" s="121">
        <v>169.58559999999983</v>
      </c>
      <c r="CL136" s="121">
        <v>221.6300000000001</v>
      </c>
      <c r="CM136" s="410">
        <f>Annually!AH144-CL136-CK136-CJ136</f>
        <v>234.1107999999998</v>
      </c>
      <c r="CN136" s="414">
        <v>232.7984</v>
      </c>
      <c r="CO136" s="121">
        <v>296.74159999999995</v>
      </c>
      <c r="CP136" s="121">
        <v>310.80169</v>
      </c>
      <c r="CQ136" s="121">
        <f>Annually!AI144-CP136-CO136-CN136</f>
        <v>288.04320000000007</v>
      </c>
      <c r="CR136" s="479">
        <v>295.2181</v>
      </c>
      <c r="CS136" s="121">
        <v>203.01569999999998</v>
      </c>
      <c r="CT136" s="121">
        <v>214.43960000000004</v>
      </c>
      <c r="CU136" s="121">
        <f>Annually!AJ144-CT136-CS136-CR136</f>
        <v>233.33790000000005</v>
      </c>
      <c r="CV136" s="414">
        <v>310.19120000000004</v>
      </c>
      <c r="CW136" s="121">
        <v>358.00921</v>
      </c>
      <c r="CX136" s="121">
        <v>331.21450999999996</v>
      </c>
      <c r="CY136" s="121">
        <f>Annually!AK144-CV136-CW136-CX136</f>
        <v>409.9356000000001</v>
      </c>
      <c r="CZ136" s="414">
        <v>419.41929</v>
      </c>
      <c r="DA136" s="121">
        <v>443.99093</v>
      </c>
      <c r="DB136" s="121">
        <v>455.6977500000001</v>
      </c>
      <c r="DC136" s="121">
        <f>Annually!AL144-CZ136-DA136-DB136</f>
        <v>413.65429999999986</v>
      </c>
      <c r="DD136" s="414">
        <v>272.41342</v>
      </c>
      <c r="DE136" s="121">
        <v>385.14555000000007</v>
      </c>
      <c r="DF136" s="121">
        <v>266.34015</v>
      </c>
      <c r="DG136" s="121">
        <f>Annually!AM144-DD136-DE136-DF136</f>
        <v>179.97334999999998</v>
      </c>
      <c r="DH136" s="414">
        <v>279.85887</v>
      </c>
      <c r="DI136" s="121">
        <v>367.14644999999996</v>
      </c>
      <c r="DJ136" s="121">
        <v>406.288</v>
      </c>
      <c r="DK136" s="121">
        <f>Annually!AN144-DH136-DI136-DJ136</f>
        <v>284.5810899999999</v>
      </c>
      <c r="DL136" s="414">
        <v>361.669967</v>
      </c>
      <c r="DM136" s="121">
        <v>70.95394999999999</v>
      </c>
      <c r="DN136" s="121">
        <v>325.320286</v>
      </c>
      <c r="DO136" s="121">
        <f>Annually!AO144-DL136-DM136-DN136</f>
        <v>502.22017700000015</v>
      </c>
      <c r="DP136" s="414">
        <v>389.7365</v>
      </c>
      <c r="DQ136" s="121">
        <v>324.66211300000003</v>
      </c>
      <c r="DR136" s="121">
        <v>190.20143</v>
      </c>
      <c r="DS136" s="121">
        <f>Annually!AP144-DP136-DQ136-DR136</f>
        <v>186.50709399999997</v>
      </c>
      <c r="EJ136" s="63"/>
    </row>
    <row r="137" spans="1:169" s="129" customFormat="1" ht="15.75">
      <c r="A137" s="116" t="s">
        <v>283</v>
      </c>
      <c r="B137" s="116" t="s">
        <v>284</v>
      </c>
      <c r="C137" s="118"/>
      <c r="D137" s="118"/>
      <c r="E137" s="118"/>
      <c r="F137" s="119"/>
      <c r="G137" s="120"/>
      <c r="H137" s="118"/>
      <c r="I137" s="118"/>
      <c r="J137" s="119"/>
      <c r="K137" s="259"/>
      <c r="L137" s="252"/>
      <c r="M137" s="252"/>
      <c r="N137" s="267"/>
      <c r="O137" s="259"/>
      <c r="P137" s="251"/>
      <c r="Q137" s="251"/>
      <c r="R137" s="266"/>
      <c r="S137" s="259"/>
      <c r="T137" s="252"/>
      <c r="U137" s="252"/>
      <c r="V137" s="252"/>
      <c r="W137" s="259"/>
      <c r="X137" s="252"/>
      <c r="Y137" s="252"/>
      <c r="Z137" s="252"/>
      <c r="AA137" s="259"/>
      <c r="AB137" s="252"/>
      <c r="AC137" s="252"/>
      <c r="AD137" s="252"/>
      <c r="AE137" s="259"/>
      <c r="AF137" s="252"/>
      <c r="AG137" s="257"/>
      <c r="AH137" s="252"/>
      <c r="AI137" s="275"/>
      <c r="AJ137" s="252"/>
      <c r="AK137" s="252"/>
      <c r="AL137" s="252"/>
      <c r="AM137" s="275"/>
      <c r="AN137" s="252"/>
      <c r="AO137" s="252"/>
      <c r="AP137" s="252"/>
      <c r="AQ137" s="275"/>
      <c r="AR137" s="252"/>
      <c r="AS137" s="252"/>
      <c r="AT137" s="252"/>
      <c r="AU137" s="275"/>
      <c r="AV137" s="252"/>
      <c r="AW137" s="252"/>
      <c r="AX137" s="267"/>
      <c r="AY137" s="259"/>
      <c r="AZ137" s="252"/>
      <c r="BA137" s="252"/>
      <c r="BB137" s="267"/>
      <c r="BC137" s="259"/>
      <c r="BD137" s="252">
        <v>0.95</v>
      </c>
      <c r="BE137" s="252">
        <v>0.9359999999999999</v>
      </c>
      <c r="BF137" s="267">
        <f>Annually!T145-BC137-BD137-BE137</f>
        <v>6.891999999999999</v>
      </c>
      <c r="BG137" s="259">
        <v>19.505</v>
      </c>
      <c r="BH137" s="252">
        <v>25.557</v>
      </c>
      <c r="BI137" s="252">
        <v>27.219000000000005</v>
      </c>
      <c r="BJ137" s="267">
        <f>Annually!U145-BG137-BH137-BI137</f>
        <v>26.355999999999998</v>
      </c>
      <c r="BK137" s="523"/>
      <c r="BL137" s="158"/>
      <c r="BM137" s="158"/>
      <c r="BN137" s="158"/>
      <c r="BO137" s="159"/>
      <c r="BP137" s="160"/>
      <c r="BQ137" s="161"/>
      <c r="BR137" s="161"/>
      <c r="BS137" s="162"/>
      <c r="BT137" s="163"/>
      <c r="BU137" s="164"/>
      <c r="BV137" s="164"/>
      <c r="BW137" s="165"/>
      <c r="BX137" s="163"/>
      <c r="BY137" s="164"/>
      <c r="BZ137" s="164"/>
      <c r="CA137" s="166"/>
      <c r="CB137" s="263"/>
      <c r="CC137" s="121"/>
      <c r="CD137" s="121"/>
      <c r="CE137" s="121"/>
      <c r="CF137" s="263"/>
      <c r="CG137" s="121"/>
      <c r="CH137" s="121"/>
      <c r="CI137" s="121"/>
      <c r="CJ137" s="263"/>
      <c r="CK137" s="121"/>
      <c r="CL137" s="121"/>
      <c r="CM137" s="410"/>
      <c r="CN137" s="414"/>
      <c r="CO137" s="121"/>
      <c r="CP137" s="121"/>
      <c r="CQ137" s="121"/>
      <c r="CR137" s="479"/>
      <c r="CS137" s="121"/>
      <c r="CT137" s="121"/>
      <c r="CU137" s="121"/>
      <c r="CV137" s="414"/>
      <c r="CW137" s="121"/>
      <c r="CX137" s="121"/>
      <c r="CY137" s="121"/>
      <c r="CZ137" s="414"/>
      <c r="DA137" s="121"/>
      <c r="DB137" s="121"/>
      <c r="DC137" s="121"/>
      <c r="DD137" s="414"/>
      <c r="DE137" s="121"/>
      <c r="DF137" s="121"/>
      <c r="DG137" s="121"/>
      <c r="DH137" s="414"/>
      <c r="DI137" s="121"/>
      <c r="DJ137" s="121"/>
      <c r="DK137" s="121"/>
      <c r="DL137" s="414"/>
      <c r="DM137" s="121">
        <v>0.04</v>
      </c>
      <c r="DN137" s="121">
        <v>0.02</v>
      </c>
      <c r="DO137" s="121">
        <f>Annually!AO145-DL137-DM137-DN137</f>
        <v>5.159</v>
      </c>
      <c r="DP137" s="414">
        <v>14.818000000000001</v>
      </c>
      <c r="DQ137" s="121">
        <v>18.26091</v>
      </c>
      <c r="DR137" s="121">
        <v>32.779075</v>
      </c>
      <c r="DS137" s="121">
        <f>Annually!AP145-DP137-DQ137-DR137</f>
        <v>19.892950000000006</v>
      </c>
      <c r="DT137" s="156"/>
      <c r="DU137" s="61"/>
      <c r="DV137" s="156"/>
      <c r="DW137" s="156"/>
      <c r="DX137" s="156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127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156"/>
    </row>
    <row r="138" spans="1:140" ht="15.75">
      <c r="A138" s="70" t="s">
        <v>124</v>
      </c>
      <c r="B138" s="70" t="s">
        <v>65</v>
      </c>
      <c r="C138" s="71">
        <v>228.08200000000002</v>
      </c>
      <c r="D138" s="71">
        <v>250.85099999999997</v>
      </c>
      <c r="E138" s="71">
        <v>250.24027999999998</v>
      </c>
      <c r="F138" s="72">
        <v>309.49299999999994</v>
      </c>
      <c r="G138" s="73">
        <v>273.6</v>
      </c>
      <c r="H138" s="71">
        <v>294.519</v>
      </c>
      <c r="I138" s="71">
        <v>265.6809999999999</v>
      </c>
      <c r="J138" s="72">
        <f>Annually!H146-SUM(G138:I138)</f>
        <v>286.29999999999995</v>
      </c>
      <c r="K138" s="249">
        <f aca="true" t="shared" si="507" ref="K138:U138">K140+K142+K143</f>
        <v>293.2</v>
      </c>
      <c r="L138" s="249">
        <f t="shared" si="507"/>
        <v>268.64168</v>
      </c>
      <c r="M138" s="249">
        <f t="shared" si="507"/>
        <v>276.06550999999996</v>
      </c>
      <c r="N138" s="265">
        <f t="shared" si="507"/>
        <v>316.3928100000001</v>
      </c>
      <c r="O138" s="270">
        <f t="shared" si="507"/>
        <v>313.659</v>
      </c>
      <c r="P138" s="249">
        <f t="shared" si="507"/>
        <v>223.79999999999995</v>
      </c>
      <c r="Q138" s="249">
        <f t="shared" si="507"/>
        <v>317.87300000000005</v>
      </c>
      <c r="R138" s="265">
        <f t="shared" si="507"/>
        <v>279.7679999999999</v>
      </c>
      <c r="S138" s="253">
        <f t="shared" si="507"/>
        <v>293.1</v>
      </c>
      <c r="T138" s="254">
        <f t="shared" si="507"/>
        <v>276.1</v>
      </c>
      <c r="U138" s="254">
        <f t="shared" si="507"/>
        <v>279.57499999999993</v>
      </c>
      <c r="V138" s="254">
        <f aca="true" t="shared" si="508" ref="V138:AC138">V140+V142+V143</f>
        <v>302.1250000000001</v>
      </c>
      <c r="W138" s="253">
        <f t="shared" si="508"/>
        <v>312.005</v>
      </c>
      <c r="X138" s="254">
        <f t="shared" si="508"/>
        <v>276.32000000000005</v>
      </c>
      <c r="Y138" s="254">
        <f t="shared" si="508"/>
        <v>282.275</v>
      </c>
      <c r="Z138" s="254">
        <f t="shared" si="508"/>
        <v>316.19999999999993</v>
      </c>
      <c r="AA138" s="253">
        <f t="shared" si="508"/>
        <v>299.825</v>
      </c>
      <c r="AB138" s="254">
        <f t="shared" si="508"/>
        <v>274.94700000000006</v>
      </c>
      <c r="AC138" s="254">
        <f t="shared" si="508"/>
        <v>283.5749999999999</v>
      </c>
      <c r="AD138" s="254">
        <f aca="true" t="shared" si="509" ref="AD138:AI138">AD140+AD142+AD143</f>
        <v>331.6920000000001</v>
      </c>
      <c r="AE138" s="253">
        <f t="shared" si="509"/>
        <v>315.56278</v>
      </c>
      <c r="AF138" s="254">
        <f t="shared" si="509"/>
        <v>278.1700000000001</v>
      </c>
      <c r="AG138" s="254">
        <f t="shared" si="509"/>
        <v>293.06999999999994</v>
      </c>
      <c r="AH138" s="254">
        <f t="shared" si="509"/>
        <v>334.878</v>
      </c>
      <c r="AI138" s="464">
        <f t="shared" si="509"/>
        <v>355.38899999999995</v>
      </c>
      <c r="AJ138" s="254">
        <f aca="true" t="shared" si="510" ref="AJ138:AO138">AJ140+AJ142+AJ143</f>
        <v>373.21099999999996</v>
      </c>
      <c r="AK138" s="254">
        <f t="shared" si="510"/>
        <v>350.4979999999999</v>
      </c>
      <c r="AL138" s="254">
        <f t="shared" si="510"/>
        <v>386.53000000000014</v>
      </c>
      <c r="AM138" s="464">
        <f t="shared" si="510"/>
        <v>386.55</v>
      </c>
      <c r="AN138" s="254">
        <f t="shared" si="510"/>
        <v>388.881</v>
      </c>
      <c r="AO138" s="254">
        <f t="shared" si="510"/>
        <v>372.97999999999996</v>
      </c>
      <c r="AP138" s="254">
        <f aca="true" t="shared" si="511" ref="AP138:AV138">AP140+AP142+AP143</f>
        <v>407.4795400000002</v>
      </c>
      <c r="AQ138" s="464">
        <f t="shared" si="511"/>
        <v>420.5088</v>
      </c>
      <c r="AR138" s="254">
        <f t="shared" si="511"/>
        <v>309.24501000000004</v>
      </c>
      <c r="AS138" s="254">
        <f t="shared" si="511"/>
        <v>352.8993</v>
      </c>
      <c r="AT138" s="254">
        <f t="shared" si="511"/>
        <v>433.01313000000005</v>
      </c>
      <c r="AU138" s="464">
        <f t="shared" si="511"/>
        <v>416.42525</v>
      </c>
      <c r="AV138" s="254">
        <f t="shared" si="511"/>
        <v>362.89644999999996</v>
      </c>
      <c r="AW138" s="254">
        <f aca="true" t="shared" si="512" ref="AW138:BB138">AW140+AW142+AW143</f>
        <v>403.49285000000015</v>
      </c>
      <c r="AX138" s="269">
        <f t="shared" si="512"/>
        <v>446.67130999999995</v>
      </c>
      <c r="AY138" s="253">
        <f t="shared" si="512"/>
        <v>416.15549</v>
      </c>
      <c r="AZ138" s="254">
        <f t="shared" si="512"/>
        <v>482.94313</v>
      </c>
      <c r="BA138" s="254">
        <f t="shared" si="512"/>
        <v>442.85202</v>
      </c>
      <c r="BB138" s="269">
        <f t="shared" si="512"/>
        <v>488.26355999999987</v>
      </c>
      <c r="BC138" s="253">
        <f aca="true" t="shared" si="513" ref="BC138:BH138">BC140+BC142+BC143</f>
        <v>409.07587</v>
      </c>
      <c r="BD138" s="254">
        <f t="shared" si="513"/>
        <v>406.87836</v>
      </c>
      <c r="BE138" s="254">
        <f t="shared" si="513"/>
        <v>421.48403400000007</v>
      </c>
      <c r="BF138" s="269">
        <f t="shared" si="513"/>
        <v>393.82920000000007</v>
      </c>
      <c r="BG138" s="253">
        <f t="shared" si="513"/>
        <v>421.5974000000001</v>
      </c>
      <c r="BH138" s="254">
        <f t="shared" si="513"/>
        <v>408.99980000000005</v>
      </c>
      <c r="BI138" s="254">
        <f>BI140+BI142+BI143</f>
        <v>417.29704999999996</v>
      </c>
      <c r="BJ138" s="254">
        <f>BJ140+BJ142+BJ143</f>
        <v>403.183</v>
      </c>
      <c r="BK138" s="523"/>
      <c r="BL138" s="77">
        <v>244.927575</v>
      </c>
      <c r="BM138" s="77">
        <v>263.15738600000003</v>
      </c>
      <c r="BN138" s="77">
        <v>236.10016800000005</v>
      </c>
      <c r="BO138" s="78">
        <v>310.92958199999987</v>
      </c>
      <c r="BP138" s="79">
        <v>273.59999999999997</v>
      </c>
      <c r="BQ138" s="80">
        <v>296.3276160000001</v>
      </c>
      <c r="BR138" s="80">
        <v>264.87238399999995</v>
      </c>
      <c r="BS138" s="81">
        <f>Annually!AC146-SUM(Quarterly!BP138:BR138)</f>
        <v>274.60000000000014</v>
      </c>
      <c r="BT138" s="82">
        <f>BT140+BT142+BT143</f>
        <v>294.9</v>
      </c>
      <c r="BU138" s="83">
        <f>BU140+BU142+BU143</f>
        <v>277.20714</v>
      </c>
      <c r="BV138" s="83">
        <v>265.49286000000006</v>
      </c>
      <c r="BW138" s="84">
        <f>Annually!AD146-Quarterly!BV138-Quarterly!BU138-Quarterly!BT138</f>
        <v>330.9</v>
      </c>
      <c r="BX138" s="83">
        <f aca="true" t="shared" si="514" ref="BX138:CE138">BX140</f>
        <v>305.3</v>
      </c>
      <c r="BY138" s="83">
        <f t="shared" si="514"/>
        <v>227.60569600000002</v>
      </c>
      <c r="BZ138" s="83">
        <f t="shared" si="514"/>
        <v>325.494304</v>
      </c>
      <c r="CA138" s="85">
        <f t="shared" si="514"/>
        <v>251.48786599999994</v>
      </c>
      <c r="CB138" s="261">
        <f t="shared" si="514"/>
        <v>303.4</v>
      </c>
      <c r="CC138" s="86">
        <f t="shared" si="514"/>
        <v>262.58742300000006</v>
      </c>
      <c r="CD138" s="86">
        <f t="shared" si="514"/>
        <v>294.74363000000005</v>
      </c>
      <c r="CE138" s="86">
        <f t="shared" si="514"/>
        <v>303.2689469999999</v>
      </c>
      <c r="CF138" s="261">
        <f aca="true" t="shared" si="515" ref="CF138:CN138">CF140</f>
        <v>312.4</v>
      </c>
      <c r="CG138" s="86">
        <f t="shared" si="515"/>
        <v>274.000055</v>
      </c>
      <c r="CH138" s="86">
        <f t="shared" si="515"/>
        <v>279.69994500000007</v>
      </c>
      <c r="CI138" s="86">
        <f t="shared" si="515"/>
        <v>327.69999999999993</v>
      </c>
      <c r="CJ138" s="261">
        <f t="shared" si="515"/>
        <v>296.447094</v>
      </c>
      <c r="CK138" s="86">
        <f t="shared" si="515"/>
        <v>267.136574</v>
      </c>
      <c r="CL138" s="86">
        <f t="shared" si="515"/>
        <v>292.87385000000006</v>
      </c>
      <c r="CM138" s="408">
        <f>CM140+CM143</f>
        <v>314.8257919999987</v>
      </c>
      <c r="CN138" s="261">
        <f t="shared" si="515"/>
        <v>315.80749</v>
      </c>
      <c r="CO138" s="86">
        <f>CO140</f>
        <v>276.669062</v>
      </c>
      <c r="CP138" s="86">
        <f>CP140</f>
        <v>303.576438</v>
      </c>
      <c r="CQ138" s="86">
        <f>CQ140</f>
        <v>326.22051200000004</v>
      </c>
      <c r="CR138" s="476">
        <f>CR140+CR143</f>
        <v>355.69059999999996</v>
      </c>
      <c r="CS138" s="86">
        <f>CS140+CS143</f>
        <v>367.91363</v>
      </c>
      <c r="CT138" s="86">
        <f>CT140+CT143</f>
        <v>360.27604000000014</v>
      </c>
      <c r="CU138" s="86">
        <f>CU140</f>
        <v>385.54965999999985</v>
      </c>
      <c r="CV138" s="412">
        <f>CV140+CV143</f>
        <v>389.08903</v>
      </c>
      <c r="CW138" s="86">
        <f>CW140+CW143</f>
        <v>385.233906</v>
      </c>
      <c r="CX138" s="86">
        <f>CX140+CX143</f>
        <v>360.43855999999994</v>
      </c>
      <c r="CY138" s="86">
        <f>Annually!AK146-CV138-CW138-CX138</f>
        <v>406.8163999999998</v>
      </c>
      <c r="CZ138" s="412">
        <f>CZ140+CZ143</f>
        <v>411.29433</v>
      </c>
      <c r="DA138" s="86">
        <f>DA140+DA143</f>
        <v>310.78777999999994</v>
      </c>
      <c r="DB138" s="86">
        <f>DB140+DB143</f>
        <v>342.0033800000001</v>
      </c>
      <c r="DC138" s="86">
        <f>Annually!AL146-CZ138-DA138-DB138</f>
        <v>416.86810999999966</v>
      </c>
      <c r="DD138" s="412">
        <f>DD140+DD143</f>
        <v>420.8975</v>
      </c>
      <c r="DE138" s="86">
        <f>DE140+DE143</f>
        <v>362.5202600000002</v>
      </c>
      <c r="DF138" s="86">
        <f>DF140+DF143</f>
        <v>376.892706</v>
      </c>
      <c r="DG138" s="86">
        <f>Annually!AM146-DD138-DE138-DF138</f>
        <v>409.1928999999999</v>
      </c>
      <c r="DH138" s="412">
        <f>DH140+DH143</f>
        <v>420.7171800000001</v>
      </c>
      <c r="DI138" s="86">
        <f>DI140+DI143</f>
        <v>472.21866999999975</v>
      </c>
      <c r="DJ138" s="86">
        <f>DJ140+DJ143</f>
        <v>323.935961</v>
      </c>
      <c r="DK138" s="86">
        <f>Annually!AN146-DH138-DI138-DJ138</f>
        <v>486.02511100000004</v>
      </c>
      <c r="DL138" s="412">
        <f>DL140+DL143</f>
        <v>473.81994800000007</v>
      </c>
      <c r="DM138" s="86">
        <f>DM140+DM143</f>
        <v>298.548714</v>
      </c>
      <c r="DN138" s="86">
        <f>DN140+DN143</f>
        <v>388.083924</v>
      </c>
      <c r="DO138" s="86">
        <f>Annually!AO146-DL138-DM138-DN138</f>
        <v>416.709382</v>
      </c>
      <c r="DP138" s="412">
        <f>DP140+DP143</f>
        <v>402.32121800000004</v>
      </c>
      <c r="DQ138" s="86">
        <f>DQ140+DQ143</f>
        <v>449.192525</v>
      </c>
      <c r="DR138" s="86">
        <f>DR140+DR143</f>
        <v>411.566345</v>
      </c>
      <c r="DS138" s="86">
        <f>Annually!AP146-DP138-DQ138-DR138</f>
        <v>346.68461799999994</v>
      </c>
      <c r="EJ138" s="62"/>
    </row>
    <row r="139" spans="1:169" s="129" customFormat="1" ht="15.75">
      <c r="A139" s="100" t="s">
        <v>104</v>
      </c>
      <c r="B139" s="100" t="s">
        <v>93</v>
      </c>
      <c r="C139" s="101">
        <v>5.4523</v>
      </c>
      <c r="D139" s="101">
        <v>0</v>
      </c>
      <c r="E139" s="101">
        <v>4.9673799999999995</v>
      </c>
      <c r="F139" s="102">
        <v>0</v>
      </c>
      <c r="G139" s="103">
        <v>0</v>
      </c>
      <c r="H139" s="101">
        <v>0</v>
      </c>
      <c r="I139" s="101">
        <v>0</v>
      </c>
      <c r="J139" s="102">
        <f>Annually!H147-SUM(G139:I139)</f>
        <v>0</v>
      </c>
      <c r="K139" s="257">
        <f aca="true" t="shared" si="516" ref="K139:U139">K141</f>
        <v>0</v>
      </c>
      <c r="L139" s="257">
        <f t="shared" si="516"/>
        <v>0.02</v>
      </c>
      <c r="M139" s="257">
        <f t="shared" si="516"/>
        <v>0</v>
      </c>
      <c r="N139" s="268">
        <f t="shared" si="516"/>
        <v>-0.02</v>
      </c>
      <c r="O139" s="256">
        <f t="shared" si="516"/>
        <v>0</v>
      </c>
      <c r="P139" s="257">
        <f t="shared" si="516"/>
        <v>0.001</v>
      </c>
      <c r="Q139" s="257">
        <f t="shared" si="516"/>
        <v>-0.001</v>
      </c>
      <c r="R139" s="268">
        <f t="shared" si="516"/>
        <v>0</v>
      </c>
      <c r="S139" s="256">
        <f t="shared" si="516"/>
        <v>0</v>
      </c>
      <c r="T139" s="257">
        <f t="shared" si="516"/>
        <v>0</v>
      </c>
      <c r="U139" s="257">
        <f t="shared" si="516"/>
        <v>0</v>
      </c>
      <c r="V139" s="257">
        <f aca="true" t="shared" si="517" ref="V139:AC139">V141</f>
        <v>0</v>
      </c>
      <c r="W139" s="256">
        <f t="shared" si="517"/>
        <v>0</v>
      </c>
      <c r="X139" s="257">
        <f t="shared" si="517"/>
        <v>0</v>
      </c>
      <c r="Y139" s="257">
        <f t="shared" si="517"/>
        <v>0</v>
      </c>
      <c r="Z139" s="257">
        <f t="shared" si="517"/>
        <v>0</v>
      </c>
      <c r="AA139" s="256">
        <f t="shared" si="517"/>
        <v>0</v>
      </c>
      <c r="AB139" s="257">
        <f t="shared" si="517"/>
        <v>0</v>
      </c>
      <c r="AC139" s="257">
        <f t="shared" si="517"/>
        <v>0</v>
      </c>
      <c r="AD139" s="257">
        <f aca="true" t="shared" si="518" ref="AD139:AI139">AD141</f>
        <v>2.585</v>
      </c>
      <c r="AE139" s="256">
        <f t="shared" si="518"/>
        <v>0</v>
      </c>
      <c r="AF139" s="257">
        <f t="shared" si="518"/>
        <v>0</v>
      </c>
      <c r="AG139" s="257">
        <f t="shared" si="518"/>
        <v>0</v>
      </c>
      <c r="AH139" s="257">
        <f t="shared" si="518"/>
        <v>0.40897</v>
      </c>
      <c r="AI139" s="465">
        <f t="shared" si="518"/>
        <v>0.41358</v>
      </c>
      <c r="AJ139" s="257">
        <f aca="true" t="shared" si="519" ref="AJ139:AO139">AJ141</f>
        <v>0.6670399999999999</v>
      </c>
      <c r="AK139" s="257">
        <f t="shared" si="519"/>
        <v>0.83914</v>
      </c>
      <c r="AL139" s="257">
        <f t="shared" si="519"/>
        <v>0</v>
      </c>
      <c r="AM139" s="465">
        <f t="shared" si="519"/>
        <v>0</v>
      </c>
      <c r="AN139" s="257">
        <f t="shared" si="519"/>
        <v>0</v>
      </c>
      <c r="AO139" s="257">
        <f t="shared" si="519"/>
        <v>0</v>
      </c>
      <c r="AP139" s="257">
        <f aca="true" t="shared" si="520" ref="AP139:AV139">AP141</f>
        <v>0.9546699999999999</v>
      </c>
      <c r="AQ139" s="465">
        <f t="shared" si="520"/>
        <v>9.80809</v>
      </c>
      <c r="AR139" s="257">
        <f t="shared" si="520"/>
        <v>5.40574</v>
      </c>
      <c r="AS139" s="257">
        <f t="shared" si="520"/>
        <v>5.071609999999998</v>
      </c>
      <c r="AT139" s="257">
        <f t="shared" si="520"/>
        <v>12.448580999999999</v>
      </c>
      <c r="AU139" s="465">
        <f t="shared" si="520"/>
        <v>8.821907999999999</v>
      </c>
      <c r="AV139" s="257">
        <f t="shared" si="520"/>
        <v>6.928613000000002</v>
      </c>
      <c r="AW139" s="257">
        <f aca="true" t="shared" si="521" ref="AW139:BB139">AW141</f>
        <v>10.837909999999995</v>
      </c>
      <c r="AX139" s="268">
        <f t="shared" si="521"/>
        <v>25.846540000000005</v>
      </c>
      <c r="AY139" s="256">
        <f t="shared" si="521"/>
        <v>7.94014</v>
      </c>
      <c r="AZ139" s="257">
        <f t="shared" si="521"/>
        <v>17.254019999999997</v>
      </c>
      <c r="BA139" s="257">
        <f t="shared" si="521"/>
        <v>14.77821</v>
      </c>
      <c r="BB139" s="268">
        <f t="shared" si="521"/>
        <v>21.368739999999995</v>
      </c>
      <c r="BC139" s="256">
        <f aca="true" t="shared" si="522" ref="BC139:BH139">BC141</f>
        <v>7.212219999999999</v>
      </c>
      <c r="BD139" s="257">
        <f t="shared" si="522"/>
        <v>5.88434</v>
      </c>
      <c r="BE139" s="257">
        <f t="shared" si="522"/>
        <v>14.316780000000005</v>
      </c>
      <c r="BF139" s="268">
        <f t="shared" si="522"/>
        <v>3.2391399999999955</v>
      </c>
      <c r="BG139" s="256">
        <f t="shared" si="522"/>
        <v>3.7532699999999997</v>
      </c>
      <c r="BH139" s="257">
        <f t="shared" si="522"/>
        <v>1.6753100000000005</v>
      </c>
      <c r="BI139" s="257">
        <f>BI141</f>
        <v>16.455630000000003</v>
      </c>
      <c r="BJ139" s="257">
        <f>BJ141</f>
        <v>3.3259399999999992</v>
      </c>
      <c r="BK139" s="523"/>
      <c r="BL139" s="398"/>
      <c r="BM139" s="398"/>
      <c r="BN139" s="398"/>
      <c r="BO139" s="399"/>
      <c r="BP139" s="400"/>
      <c r="BQ139" s="401"/>
      <c r="BR139" s="401"/>
      <c r="BS139" s="402"/>
      <c r="BT139" s="153"/>
      <c r="BU139" s="154"/>
      <c r="BV139" s="154"/>
      <c r="BW139" s="152"/>
      <c r="BX139" s="153"/>
      <c r="BY139" s="154"/>
      <c r="BZ139" s="154"/>
      <c r="CA139" s="155"/>
      <c r="CB139" s="262"/>
      <c r="CC139" s="104"/>
      <c r="CD139" s="104"/>
      <c r="CE139" s="104"/>
      <c r="CF139" s="262"/>
      <c r="CG139" s="104"/>
      <c r="CH139" s="104"/>
      <c r="CI139" s="104"/>
      <c r="CJ139" s="262"/>
      <c r="CK139" s="104"/>
      <c r="CL139" s="104"/>
      <c r="CM139" s="409"/>
      <c r="CN139" s="413"/>
      <c r="CO139" s="104"/>
      <c r="CP139" s="104"/>
      <c r="CQ139" s="104"/>
      <c r="CR139" s="478"/>
      <c r="CS139" s="104"/>
      <c r="CT139" s="104"/>
      <c r="CU139" s="104"/>
      <c r="CV139" s="413"/>
      <c r="CW139" s="104"/>
      <c r="CX139" s="104"/>
      <c r="CY139" s="104"/>
      <c r="CZ139" s="413"/>
      <c r="DA139" s="104"/>
      <c r="DB139" s="104"/>
      <c r="DC139" s="104"/>
      <c r="DD139" s="413"/>
      <c r="DE139" s="104"/>
      <c r="DF139" s="104"/>
      <c r="DG139" s="104"/>
      <c r="DH139" s="413"/>
      <c r="DI139" s="104"/>
      <c r="DJ139" s="104"/>
      <c r="DK139" s="104"/>
      <c r="DL139" s="413"/>
      <c r="DM139" s="104"/>
      <c r="DN139" s="104"/>
      <c r="DO139" s="104"/>
      <c r="DP139" s="413"/>
      <c r="DQ139" s="104"/>
      <c r="DR139" s="104"/>
      <c r="DS139" s="104"/>
      <c r="DT139" s="156"/>
      <c r="DU139" s="156"/>
      <c r="DV139" s="156"/>
      <c r="DW139" s="156"/>
      <c r="DX139" s="156"/>
      <c r="DY139" s="156"/>
      <c r="DZ139" s="156"/>
      <c r="EA139" s="156"/>
      <c r="EB139" s="156"/>
      <c r="EC139" s="156"/>
      <c r="ED139" s="156"/>
      <c r="EE139" s="156"/>
      <c r="EF139" s="156"/>
      <c r="EG139" s="156"/>
      <c r="EH139" s="156"/>
      <c r="EI139" s="156"/>
      <c r="EJ139" s="127"/>
      <c r="EK139" s="156"/>
      <c r="EL139" s="156"/>
      <c r="EM139" s="156"/>
      <c r="EN139" s="156"/>
      <c r="EO139" s="156"/>
      <c r="EP139" s="156"/>
      <c r="EQ139" s="156"/>
      <c r="ER139" s="156"/>
      <c r="ES139" s="156"/>
      <c r="ET139" s="156"/>
      <c r="EU139" s="156"/>
      <c r="EV139" s="156"/>
      <c r="EW139" s="156"/>
      <c r="EX139" s="156"/>
      <c r="EY139" s="156"/>
      <c r="EZ139" s="156"/>
      <c r="FA139" s="156"/>
      <c r="FB139" s="156"/>
      <c r="FC139" s="156"/>
      <c r="FD139" s="156"/>
      <c r="FE139" s="156"/>
      <c r="FF139" s="156"/>
      <c r="FG139" s="156"/>
      <c r="FH139" s="156"/>
      <c r="FI139" s="156"/>
      <c r="FJ139" s="156"/>
      <c r="FK139" s="156"/>
      <c r="FL139" s="156"/>
      <c r="FM139" s="156"/>
    </row>
    <row r="140" spans="1:140" ht="15.75">
      <c r="A140" s="116" t="s">
        <v>66</v>
      </c>
      <c r="B140" s="116" t="s">
        <v>142</v>
      </c>
      <c r="C140" s="118">
        <v>215.479</v>
      </c>
      <c r="D140" s="118">
        <v>250.52899999999997</v>
      </c>
      <c r="E140" s="118">
        <v>238.28310000000005</v>
      </c>
      <c r="F140" s="119">
        <v>309.49299999999994</v>
      </c>
      <c r="G140" s="120">
        <v>273.6</v>
      </c>
      <c r="H140" s="118">
        <v>294.519</v>
      </c>
      <c r="I140" s="118">
        <v>265.6809999999999</v>
      </c>
      <c r="J140" s="119">
        <f>Annually!H148-SUM(G140:I140)</f>
        <v>286.29999999999995</v>
      </c>
      <c r="K140" s="259">
        <v>293.2</v>
      </c>
      <c r="L140" s="252">
        <v>268.64168</v>
      </c>
      <c r="M140" s="252">
        <v>276.06550999999996</v>
      </c>
      <c r="N140" s="267">
        <f>Annually!I148-Quarterly!M140-L140-K140</f>
        <v>316.3928100000001</v>
      </c>
      <c r="O140" s="259">
        <v>313.659</v>
      </c>
      <c r="P140" s="251">
        <f>537.459-O140</f>
        <v>223.79999999999995</v>
      </c>
      <c r="Q140" s="251">
        <v>317.87300000000005</v>
      </c>
      <c r="R140" s="266">
        <f>-Q140-P140-O140+Annually!J148</f>
        <v>279.7679999999999</v>
      </c>
      <c r="S140" s="259">
        <v>293.1</v>
      </c>
      <c r="T140" s="252">
        <v>276.1</v>
      </c>
      <c r="U140" s="252">
        <v>279.57499999999993</v>
      </c>
      <c r="V140" s="252">
        <v>302.1250000000001</v>
      </c>
      <c r="W140" s="259">
        <v>312.005</v>
      </c>
      <c r="X140" s="252">
        <v>276.32000000000005</v>
      </c>
      <c r="Y140" s="252">
        <v>282.275</v>
      </c>
      <c r="Z140" s="252">
        <f>Annually!L148-Y140-X140-W140</f>
        <v>316.19999999999993</v>
      </c>
      <c r="AA140" s="259">
        <v>299.825</v>
      </c>
      <c r="AB140" s="252">
        <v>274.94700000000006</v>
      </c>
      <c r="AC140" s="252">
        <v>283.5749999999999</v>
      </c>
      <c r="AD140" s="252">
        <f>Annually!M148-AC140-AB140-AA140</f>
        <v>328.65000000000015</v>
      </c>
      <c r="AE140" s="259">
        <v>312.17598</v>
      </c>
      <c r="AF140" s="252">
        <v>278.1700000000001</v>
      </c>
      <c r="AG140" s="257">
        <v>293.06999999999994</v>
      </c>
      <c r="AH140" s="252">
        <f>Annually!N148-AG140-AF140-AE140</f>
        <v>333.962</v>
      </c>
      <c r="AI140" s="275">
        <v>354.465</v>
      </c>
      <c r="AJ140" s="252">
        <v>371.835</v>
      </c>
      <c r="AK140" s="252">
        <v>348.7999999999999</v>
      </c>
      <c r="AL140" s="252">
        <f>Annually!O148-AK140-AJ140-AI140</f>
        <v>386.53000000000014</v>
      </c>
      <c r="AM140" s="275">
        <v>386.55</v>
      </c>
      <c r="AN140" s="252">
        <v>388.84</v>
      </c>
      <c r="AO140" s="252">
        <v>372.97999999999996</v>
      </c>
      <c r="AP140" s="252">
        <f>Annually!P148-AM140-AN140-AO140</f>
        <v>405.1000000000002</v>
      </c>
      <c r="AQ140" s="275">
        <v>383.88</v>
      </c>
      <c r="AR140" s="252">
        <v>287.6229000000001</v>
      </c>
      <c r="AS140" s="252">
        <v>330.1781</v>
      </c>
      <c r="AT140" s="252">
        <f>Annually!Q148-AQ140-AR140-AS140</f>
        <v>389.23</v>
      </c>
      <c r="AU140" s="275">
        <v>388.5</v>
      </c>
      <c r="AV140" s="252">
        <v>330.42999999999995</v>
      </c>
      <c r="AW140" s="252">
        <v>379.9900000000001</v>
      </c>
      <c r="AX140" s="267">
        <f>Annually!R148-AU140-AV140-AW140</f>
        <v>394.79999999999995</v>
      </c>
      <c r="AY140" s="259">
        <v>389.56</v>
      </c>
      <c r="AZ140" s="252">
        <v>414.46</v>
      </c>
      <c r="BA140" s="252">
        <v>390.81</v>
      </c>
      <c r="BB140" s="267">
        <f>Annually!S148-AY140-AZ140-BA140</f>
        <v>416.8289999999999</v>
      </c>
      <c r="BC140" s="259">
        <v>380.35</v>
      </c>
      <c r="BD140" s="252">
        <v>386.92336</v>
      </c>
      <c r="BE140" s="252">
        <v>368.62664000000007</v>
      </c>
      <c r="BF140" s="267">
        <f>Annually!T148-BC140-BD140-BE140</f>
        <v>385.5400000000001</v>
      </c>
      <c r="BG140" s="259">
        <v>408.6600000000001</v>
      </c>
      <c r="BH140" s="252">
        <v>400.20000000000005</v>
      </c>
      <c r="BI140" s="252">
        <v>368.328</v>
      </c>
      <c r="BJ140" s="267">
        <f>Annually!U148-BG140-BH140-BI140</f>
        <v>393.76</v>
      </c>
      <c r="BK140" s="523"/>
      <c r="BL140" s="158">
        <v>231.135575</v>
      </c>
      <c r="BM140" s="158">
        <v>262.714386</v>
      </c>
      <c r="BN140" s="158">
        <v>228.81198800000004</v>
      </c>
      <c r="BO140" s="159">
        <v>306.6345819999999</v>
      </c>
      <c r="BP140" s="160">
        <v>273.4</v>
      </c>
      <c r="BQ140" s="161">
        <v>296.27461600000004</v>
      </c>
      <c r="BR140" s="161">
        <v>264.825384</v>
      </c>
      <c r="BS140" s="162">
        <f>Annually!AC148-SUM(Quarterly!BP140:BR140)</f>
        <v>274.9000000000001</v>
      </c>
      <c r="BT140" s="163">
        <v>294.9</v>
      </c>
      <c r="BU140" s="164">
        <v>277.20714</v>
      </c>
      <c r="BV140" s="164">
        <v>265.49286000000006</v>
      </c>
      <c r="BW140" s="165">
        <f>Annually!AD148-Quarterly!BV140-Quarterly!BU140-Quarterly!BT140</f>
        <v>330.9</v>
      </c>
      <c r="BX140" s="163">
        <v>305.3</v>
      </c>
      <c r="BY140" s="164">
        <f>532.60896+0.296736-BX140</f>
        <v>227.60569600000002</v>
      </c>
      <c r="BZ140" s="164">
        <v>325.494304</v>
      </c>
      <c r="CA140" s="166">
        <f>-BZ140-BY140-BX140+Annually!AE148</f>
        <v>251.48786599999994</v>
      </c>
      <c r="CB140" s="263">
        <v>303.4</v>
      </c>
      <c r="CC140" s="121">
        <v>262.58742300000006</v>
      </c>
      <c r="CD140" s="121">
        <v>294.74363000000005</v>
      </c>
      <c r="CE140" s="121">
        <v>303.2689469999999</v>
      </c>
      <c r="CF140" s="263">
        <v>312.4</v>
      </c>
      <c r="CG140" s="121">
        <v>274.000055</v>
      </c>
      <c r="CH140" s="121">
        <v>279.69994500000007</v>
      </c>
      <c r="CI140" s="121">
        <f>Annually!AG148-CH140-CG140-CF140</f>
        <v>327.69999999999993</v>
      </c>
      <c r="CJ140" s="263">
        <v>296.447094</v>
      </c>
      <c r="CK140" s="121">
        <v>267.136574</v>
      </c>
      <c r="CL140" s="121">
        <v>292.87385000000006</v>
      </c>
      <c r="CM140" s="410">
        <f>Annually!AH148-CL140-CK140-CJ140</f>
        <v>311.8797919999987</v>
      </c>
      <c r="CN140" s="414">
        <v>315.80749</v>
      </c>
      <c r="CO140" s="121">
        <v>276.669062</v>
      </c>
      <c r="CP140" s="121">
        <v>303.576438</v>
      </c>
      <c r="CQ140" s="121">
        <f>Annually!AI148-CP140-CO140-CN140</f>
        <v>326.22051200000004</v>
      </c>
      <c r="CR140" s="479">
        <v>354.7666</v>
      </c>
      <c r="CS140" s="121">
        <v>366.52163</v>
      </c>
      <c r="CT140" s="121">
        <v>358.5940400000001</v>
      </c>
      <c r="CU140" s="121">
        <f>Annually!AJ148-CT140-CS140-CR140</f>
        <v>385.54965999999985</v>
      </c>
      <c r="CV140" s="414">
        <v>389.08903</v>
      </c>
      <c r="CW140" s="121">
        <v>385.192906</v>
      </c>
      <c r="CX140" s="121">
        <v>360.43855999999994</v>
      </c>
      <c r="CY140" s="121">
        <f>Annually!AK148-CV140-CW140-CX140</f>
        <v>404.4368599999997</v>
      </c>
      <c r="CZ140" s="414">
        <v>375.21553</v>
      </c>
      <c r="DA140" s="121">
        <v>288.61562999999995</v>
      </c>
      <c r="DB140" s="121">
        <v>319.2821800000001</v>
      </c>
      <c r="DC140" s="121">
        <f>Annually!AL148-CZ140-DA140-DB140</f>
        <v>377.32313999999957</v>
      </c>
      <c r="DD140" s="414">
        <v>388.73413</v>
      </c>
      <c r="DE140" s="121">
        <v>330.05381000000017</v>
      </c>
      <c r="DF140" s="121">
        <v>354.694196</v>
      </c>
      <c r="DG140" s="121">
        <f>Annually!AM148-DD140-DE140-DF140</f>
        <v>356.01725000000005</v>
      </c>
      <c r="DH140" s="414">
        <v>397.1525500000001</v>
      </c>
      <c r="DI140" s="121">
        <v>403.3062099999998</v>
      </c>
      <c r="DJ140" s="121">
        <v>269.292411</v>
      </c>
      <c r="DK140" s="121">
        <f>Annually!AN148-DH140-DI140-DJ140</f>
        <v>416.29605100000015</v>
      </c>
      <c r="DL140" s="414">
        <v>443.38857800000005</v>
      </c>
      <c r="DM140" s="121">
        <v>267.64184400000005</v>
      </c>
      <c r="DN140" s="121">
        <v>367.54989</v>
      </c>
      <c r="DO140" s="121">
        <f>Annually!AO148-DL140-DM140-DN140</f>
        <v>387.42898200000013</v>
      </c>
      <c r="DP140" s="414">
        <v>389.383818</v>
      </c>
      <c r="DQ140" s="121">
        <v>440.392725</v>
      </c>
      <c r="DR140" s="121">
        <v>366.279245</v>
      </c>
      <c r="DS140" s="121">
        <f>Annually!AP148-DP140-DQ140-DR140</f>
        <v>333.579668</v>
      </c>
      <c r="EJ140" s="63"/>
    </row>
    <row r="141" spans="1:169" s="129" customFormat="1" ht="15.75">
      <c r="A141" s="100" t="s">
        <v>104</v>
      </c>
      <c r="B141" s="100" t="s">
        <v>93</v>
      </c>
      <c r="C141" s="101">
        <v>5.4523</v>
      </c>
      <c r="D141" s="101">
        <v>0</v>
      </c>
      <c r="E141" s="101">
        <v>4.9673799999999995</v>
      </c>
      <c r="F141" s="102">
        <v>0</v>
      </c>
      <c r="G141" s="103">
        <v>0</v>
      </c>
      <c r="H141" s="101">
        <v>0</v>
      </c>
      <c r="I141" s="101">
        <v>0</v>
      </c>
      <c r="J141" s="102">
        <f>Annually!H149-SUM(G141:I141)</f>
        <v>0</v>
      </c>
      <c r="K141" s="256">
        <v>0</v>
      </c>
      <c r="L141" s="257">
        <v>0.02</v>
      </c>
      <c r="M141" s="257">
        <v>0</v>
      </c>
      <c r="N141" s="268">
        <f>Annually!I149-Quarterly!M141-L141-K141</f>
        <v>-0.02</v>
      </c>
      <c r="O141" s="256">
        <v>0</v>
      </c>
      <c r="P141" s="257">
        <v>0.001</v>
      </c>
      <c r="Q141" s="257">
        <v>-0.001</v>
      </c>
      <c r="R141" s="268">
        <f>-Q141-P141-O141+Annually!J149</f>
        <v>0</v>
      </c>
      <c r="S141" s="256">
        <v>0</v>
      </c>
      <c r="T141" s="257">
        <v>0</v>
      </c>
      <c r="U141" s="257">
        <v>0</v>
      </c>
      <c r="V141" s="257">
        <v>0</v>
      </c>
      <c r="W141" s="256">
        <v>0</v>
      </c>
      <c r="X141" s="257">
        <v>0</v>
      </c>
      <c r="Y141" s="257">
        <v>0</v>
      </c>
      <c r="Z141" s="257">
        <v>0</v>
      </c>
      <c r="AA141" s="256">
        <v>0</v>
      </c>
      <c r="AB141" s="257">
        <v>0</v>
      </c>
      <c r="AC141" s="257">
        <v>0</v>
      </c>
      <c r="AD141" s="257">
        <f>Annually!M149-AC141-AB141-AA141</f>
        <v>2.585</v>
      </c>
      <c r="AE141" s="256"/>
      <c r="AF141" s="257">
        <v>0</v>
      </c>
      <c r="AG141" s="257"/>
      <c r="AH141" s="257">
        <f>Annually!N149-AG141-AF141-AE141</f>
        <v>0.40897</v>
      </c>
      <c r="AI141" s="465">
        <v>0.41358</v>
      </c>
      <c r="AJ141" s="257">
        <v>0.6670399999999999</v>
      </c>
      <c r="AK141" s="257">
        <v>0.83914</v>
      </c>
      <c r="AL141" s="257">
        <f>Annually!O149-AK141-AJ141-AI141</f>
        <v>0</v>
      </c>
      <c r="AM141" s="465">
        <v>0</v>
      </c>
      <c r="AN141" s="257">
        <v>0</v>
      </c>
      <c r="AO141" s="257">
        <v>0</v>
      </c>
      <c r="AP141" s="252">
        <f>Annually!P149-AM141-AN141-AO141</f>
        <v>0.9546699999999999</v>
      </c>
      <c r="AQ141" s="465">
        <v>9.80809</v>
      </c>
      <c r="AR141" s="257">
        <v>5.40574</v>
      </c>
      <c r="AS141" s="257">
        <v>5.071609999999998</v>
      </c>
      <c r="AT141" s="252">
        <f>Annually!Q149-AQ141-AR141-AS141</f>
        <v>12.448580999999999</v>
      </c>
      <c r="AU141" s="465">
        <v>8.821907999999999</v>
      </c>
      <c r="AV141" s="257">
        <v>6.928613000000002</v>
      </c>
      <c r="AW141" s="257">
        <v>10.837909999999995</v>
      </c>
      <c r="AX141" s="268">
        <f>Annually!R149-AU141-AV141-AW141</f>
        <v>25.846540000000005</v>
      </c>
      <c r="AY141" s="256">
        <v>7.94014</v>
      </c>
      <c r="AZ141" s="257">
        <v>17.254019999999997</v>
      </c>
      <c r="BA141" s="257">
        <v>14.77821</v>
      </c>
      <c r="BB141" s="268">
        <f>Annually!S149-AY141-AZ141-BA141</f>
        <v>21.368739999999995</v>
      </c>
      <c r="BC141" s="256">
        <v>7.212219999999999</v>
      </c>
      <c r="BD141" s="257">
        <v>5.88434</v>
      </c>
      <c r="BE141" s="257">
        <v>14.316780000000005</v>
      </c>
      <c r="BF141" s="268">
        <f>Annually!T149-BC141-BD141-BE141</f>
        <v>3.2391399999999955</v>
      </c>
      <c r="BG141" s="256">
        <v>3.7532699999999997</v>
      </c>
      <c r="BH141" s="257">
        <v>1.6753100000000005</v>
      </c>
      <c r="BI141" s="257">
        <v>16.455630000000003</v>
      </c>
      <c r="BJ141" s="268">
        <f>Annually!U149-BG141-BH141-BI141</f>
        <v>3.3259399999999992</v>
      </c>
      <c r="BK141" s="523"/>
      <c r="BL141" s="145"/>
      <c r="BM141" s="145"/>
      <c r="BN141" s="145"/>
      <c r="BO141" s="146"/>
      <c r="BP141" s="147"/>
      <c r="BQ141" s="148"/>
      <c r="BR141" s="148"/>
      <c r="BS141" s="149"/>
      <c r="BT141" s="150"/>
      <c r="BU141" s="151"/>
      <c r="BV141" s="151"/>
      <c r="BW141" s="152"/>
      <c r="BX141" s="153"/>
      <c r="BY141" s="154"/>
      <c r="BZ141" s="154"/>
      <c r="CA141" s="155"/>
      <c r="CB141" s="262"/>
      <c r="CC141" s="104"/>
      <c r="CD141" s="104"/>
      <c r="CE141" s="104"/>
      <c r="CF141" s="262"/>
      <c r="CG141" s="104"/>
      <c r="CH141" s="104"/>
      <c r="CI141" s="104"/>
      <c r="CJ141" s="262"/>
      <c r="CK141" s="104"/>
      <c r="CL141" s="104"/>
      <c r="CM141" s="409"/>
      <c r="CN141" s="413"/>
      <c r="CO141" s="104"/>
      <c r="CP141" s="104"/>
      <c r="CQ141" s="104"/>
      <c r="CR141" s="478"/>
      <c r="CS141" s="104"/>
      <c r="CT141" s="104"/>
      <c r="CU141" s="104"/>
      <c r="CV141" s="413"/>
      <c r="CW141" s="104"/>
      <c r="CX141" s="104"/>
      <c r="CY141" s="111"/>
      <c r="CZ141" s="413"/>
      <c r="DA141" s="104"/>
      <c r="DB141" s="104"/>
      <c r="DC141" s="111"/>
      <c r="DD141" s="413"/>
      <c r="DE141" s="104"/>
      <c r="DF141" s="104"/>
      <c r="DG141" s="111"/>
      <c r="DH141" s="413"/>
      <c r="DI141" s="104"/>
      <c r="DJ141" s="104"/>
      <c r="DK141" s="111"/>
      <c r="DL141" s="413"/>
      <c r="DM141" s="104"/>
      <c r="DN141" s="104"/>
      <c r="DO141" s="111"/>
      <c r="DP141" s="413"/>
      <c r="DQ141" s="104"/>
      <c r="DR141" s="104"/>
      <c r="DS141" s="111"/>
      <c r="DT141" s="156"/>
      <c r="DU141" s="156"/>
      <c r="DV141" s="156"/>
      <c r="DW141" s="156"/>
      <c r="DX141" s="156"/>
      <c r="DY141" s="156"/>
      <c r="DZ141" s="156"/>
      <c r="EA141" s="156"/>
      <c r="EB141" s="156"/>
      <c r="EC141" s="156"/>
      <c r="ED141" s="156"/>
      <c r="EE141" s="156"/>
      <c r="EF141" s="156"/>
      <c r="EG141" s="156"/>
      <c r="EH141" s="156"/>
      <c r="EI141" s="156"/>
      <c r="EJ141" s="127"/>
      <c r="EK141" s="156"/>
      <c r="EL141" s="156"/>
      <c r="EM141" s="156"/>
      <c r="EN141" s="156"/>
      <c r="EO141" s="156"/>
      <c r="EP141" s="156"/>
      <c r="EQ141" s="156"/>
      <c r="ER141" s="156"/>
      <c r="ES141" s="156"/>
      <c r="ET141" s="156"/>
      <c r="EU141" s="156"/>
      <c r="EV141" s="156"/>
      <c r="EW141" s="156"/>
      <c r="EX141" s="156"/>
      <c r="EY141" s="156"/>
      <c r="EZ141" s="156"/>
      <c r="FA141" s="156"/>
      <c r="FB141" s="156"/>
      <c r="FC141" s="156"/>
      <c r="FD141" s="156"/>
      <c r="FE141" s="156"/>
      <c r="FF141" s="156"/>
      <c r="FG141" s="156"/>
      <c r="FH141" s="156"/>
      <c r="FI141" s="156"/>
      <c r="FJ141" s="156"/>
      <c r="FK141" s="156"/>
      <c r="FL141" s="156"/>
      <c r="FM141" s="156"/>
    </row>
    <row r="142" spans="1:140" ht="15" customHeight="1" hidden="1">
      <c r="A142" s="117" t="s">
        <v>68</v>
      </c>
      <c r="B142" s="117" t="s">
        <v>69</v>
      </c>
      <c r="C142" s="101">
        <v>0</v>
      </c>
      <c r="D142" s="101">
        <v>0</v>
      </c>
      <c r="E142" s="101">
        <v>0</v>
      </c>
      <c r="F142" s="102">
        <v>0</v>
      </c>
      <c r="G142" s="103">
        <v>0</v>
      </c>
      <c r="H142" s="101">
        <v>0</v>
      </c>
      <c r="I142" s="101">
        <v>0</v>
      </c>
      <c r="J142" s="102">
        <f>Annually!H150-SUM(G142:I142)</f>
        <v>0</v>
      </c>
      <c r="K142" s="259"/>
      <c r="L142" s="252">
        <v>0</v>
      </c>
      <c r="M142" s="252">
        <v>0</v>
      </c>
      <c r="N142" s="269">
        <f>Annually!I150-Quarterly!M142-L142-K142</f>
        <v>0</v>
      </c>
      <c r="O142" s="253"/>
      <c r="P142" s="252"/>
      <c r="Q142" s="252">
        <v>0</v>
      </c>
      <c r="R142" s="267">
        <f>-Q142-P142-O142+Annually!J150</f>
        <v>0</v>
      </c>
      <c r="S142" s="253"/>
      <c r="T142" s="252">
        <v>0</v>
      </c>
      <c r="U142" s="252">
        <v>0</v>
      </c>
      <c r="V142" s="252">
        <v>0</v>
      </c>
      <c r="W142" s="253"/>
      <c r="X142" s="254"/>
      <c r="Y142" s="254"/>
      <c r="Z142" s="252"/>
      <c r="AA142" s="253"/>
      <c r="AB142" s="254"/>
      <c r="AC142" s="254"/>
      <c r="AD142" s="254"/>
      <c r="AE142" s="253"/>
      <c r="AF142" s="254"/>
      <c r="AG142" s="254"/>
      <c r="AH142" s="254"/>
      <c r="AI142" s="464"/>
      <c r="AJ142" s="254">
        <v>0</v>
      </c>
      <c r="AK142" s="254"/>
      <c r="AL142" s="254"/>
      <c r="AM142" s="464"/>
      <c r="AN142" s="254">
        <v>0</v>
      </c>
      <c r="AO142" s="254">
        <v>0</v>
      </c>
      <c r="AP142" s="254">
        <f>Annually!P150</f>
        <v>0</v>
      </c>
      <c r="AQ142" s="464"/>
      <c r="AR142" s="254">
        <v>0</v>
      </c>
      <c r="AS142" s="254"/>
      <c r="AT142" s="254">
        <f>Annually!Q150</f>
        <v>0</v>
      </c>
      <c r="AU142" s="464"/>
      <c r="AV142" s="254">
        <v>0</v>
      </c>
      <c r="AW142" s="254"/>
      <c r="AX142" s="269">
        <f>Annually!R150</f>
        <v>0</v>
      </c>
      <c r="AY142" s="253"/>
      <c r="AZ142" s="254"/>
      <c r="BA142" s="254"/>
      <c r="BB142" s="269"/>
      <c r="BC142" s="253"/>
      <c r="BD142" s="254"/>
      <c r="BE142" s="254"/>
      <c r="BF142" s="269"/>
      <c r="BG142" s="253"/>
      <c r="BH142" s="254"/>
      <c r="BI142" s="254">
        <v>0</v>
      </c>
      <c r="BJ142" s="269"/>
      <c r="BK142" s="523"/>
      <c r="BL142" s="158">
        <v>0</v>
      </c>
      <c r="BM142" s="158">
        <v>0</v>
      </c>
      <c r="BN142" s="158">
        <v>0</v>
      </c>
      <c r="BO142" s="159">
        <v>0</v>
      </c>
      <c r="BP142" s="160"/>
      <c r="BQ142" s="161">
        <v>0</v>
      </c>
      <c r="BR142" s="161">
        <v>0</v>
      </c>
      <c r="BS142" s="162">
        <f>Annually!AC150-SUM(Quarterly!BP142:BR142)</f>
        <v>0</v>
      </c>
      <c r="BT142" s="163"/>
      <c r="BU142" s="164">
        <v>0</v>
      </c>
      <c r="BV142" s="164">
        <v>0</v>
      </c>
      <c r="BW142" s="84">
        <f>Annually!AD150-Quarterly!BV142-Quarterly!BU142-Quarterly!BT142</f>
        <v>0</v>
      </c>
      <c r="BX142" s="82"/>
      <c r="BY142" s="83"/>
      <c r="BZ142" s="83"/>
      <c r="CA142" s="85"/>
      <c r="CB142" s="261"/>
      <c r="CC142" s="86"/>
      <c r="CD142" s="86"/>
      <c r="CE142" s="86">
        <v>0</v>
      </c>
      <c r="CF142" s="261"/>
      <c r="CG142" s="86"/>
      <c r="CH142" s="86"/>
      <c r="CI142" s="86"/>
      <c r="CJ142" s="261"/>
      <c r="CK142" s="86"/>
      <c r="CL142" s="86"/>
      <c r="CM142" s="408"/>
      <c r="CN142" s="412"/>
      <c r="CO142" s="86"/>
      <c r="CP142" s="86"/>
      <c r="CQ142" s="86"/>
      <c r="CR142" s="476"/>
      <c r="CS142" s="86">
        <v>0</v>
      </c>
      <c r="CT142" s="86"/>
      <c r="CU142" s="86"/>
      <c r="CV142" s="412"/>
      <c r="CW142" s="86">
        <v>0</v>
      </c>
      <c r="CX142" s="86">
        <v>0</v>
      </c>
      <c r="CY142" s="86"/>
      <c r="CZ142" s="412"/>
      <c r="DA142" s="86">
        <v>0</v>
      </c>
      <c r="DB142" s="86"/>
      <c r="DC142" s="86"/>
      <c r="DD142" s="412"/>
      <c r="DE142" s="86"/>
      <c r="DF142" s="86"/>
      <c r="DG142" s="86"/>
      <c r="DH142" s="412"/>
      <c r="DI142" s="86"/>
      <c r="DJ142" s="86"/>
      <c r="DK142" s="86"/>
      <c r="DL142" s="412"/>
      <c r="DM142" s="86"/>
      <c r="DN142" s="86"/>
      <c r="DO142" s="86"/>
      <c r="DP142" s="412"/>
      <c r="DQ142" s="86"/>
      <c r="DR142" s="86"/>
      <c r="DS142" s="86"/>
      <c r="EJ142" s="62"/>
    </row>
    <row r="143" spans="1:140" ht="15.75">
      <c r="A143" s="117" t="s">
        <v>70</v>
      </c>
      <c r="B143" s="116" t="s">
        <v>125</v>
      </c>
      <c r="C143" s="118">
        <v>12.603</v>
      </c>
      <c r="D143" s="118">
        <v>0.32200000000000095</v>
      </c>
      <c r="E143" s="118">
        <v>11.957180000000001</v>
      </c>
      <c r="F143" s="119">
        <v>0</v>
      </c>
      <c r="G143" s="120">
        <v>0</v>
      </c>
      <c r="H143" s="118">
        <v>0</v>
      </c>
      <c r="I143" s="118">
        <v>0</v>
      </c>
      <c r="J143" s="119">
        <f>Annually!H151-SUM(G143:I143)</f>
        <v>0</v>
      </c>
      <c r="K143" s="259">
        <v>0</v>
      </c>
      <c r="L143" s="252">
        <v>0</v>
      </c>
      <c r="M143" s="252">
        <v>0</v>
      </c>
      <c r="N143" s="267">
        <f>Annually!I151-Quarterly!M143-L143-K143</f>
        <v>0</v>
      </c>
      <c r="O143" s="259">
        <v>0</v>
      </c>
      <c r="P143" s="252">
        <v>0</v>
      </c>
      <c r="Q143" s="252">
        <v>0</v>
      </c>
      <c r="R143" s="267">
        <f>-Q143-P143-O143+Annually!J151</f>
        <v>0</v>
      </c>
      <c r="S143" s="259">
        <v>0</v>
      </c>
      <c r="T143" s="252">
        <v>0</v>
      </c>
      <c r="U143" s="252">
        <v>0</v>
      </c>
      <c r="V143" s="252">
        <v>0</v>
      </c>
      <c r="W143" s="259">
        <v>0</v>
      </c>
      <c r="X143" s="252">
        <v>0</v>
      </c>
      <c r="Y143" s="252">
        <v>0</v>
      </c>
      <c r="Z143" s="252">
        <f>Annually!L151-Y143-X143-W143</f>
        <v>0</v>
      </c>
      <c r="AA143" s="259">
        <v>0</v>
      </c>
      <c r="AB143" s="252">
        <v>0</v>
      </c>
      <c r="AC143" s="252">
        <v>0</v>
      </c>
      <c r="AD143" s="252">
        <f>Annually!M151-AC143-AB143-AA143</f>
        <v>3.042</v>
      </c>
      <c r="AE143" s="259">
        <v>3.3868</v>
      </c>
      <c r="AF143" s="252">
        <v>0</v>
      </c>
      <c r="AG143" s="252"/>
      <c r="AH143" s="252">
        <f>Annually!N151-AG143-AF143-AE143</f>
        <v>0.9160000000000004</v>
      </c>
      <c r="AI143" s="275">
        <v>0.924</v>
      </c>
      <c r="AJ143" s="252">
        <v>1.376</v>
      </c>
      <c r="AK143" s="252">
        <v>1.6980000000000004</v>
      </c>
      <c r="AL143" s="252">
        <f>Annually!O151-AK143-AJ143-AI143</f>
        <v>0</v>
      </c>
      <c r="AM143" s="275">
        <v>0</v>
      </c>
      <c r="AN143" s="252">
        <v>0.041</v>
      </c>
      <c r="AO143" s="252">
        <v>0</v>
      </c>
      <c r="AP143" s="252">
        <f>Annually!P151-AM143-AN143-AO143</f>
        <v>2.37954</v>
      </c>
      <c r="AQ143" s="275">
        <v>36.628800000000005</v>
      </c>
      <c r="AR143" s="252">
        <v>21.622109999999985</v>
      </c>
      <c r="AS143" s="252">
        <v>22.72120000000001</v>
      </c>
      <c r="AT143" s="252">
        <f>Annually!Q151-AQ143-AR143-AS143</f>
        <v>43.78313</v>
      </c>
      <c r="AU143" s="275">
        <v>27.92525</v>
      </c>
      <c r="AV143" s="252">
        <v>32.46645</v>
      </c>
      <c r="AW143" s="252">
        <v>23.50285000000001</v>
      </c>
      <c r="AX143" s="267">
        <f>Annually!R151-AU143-AV143-AW143</f>
        <v>51.87130999999998</v>
      </c>
      <c r="AY143" s="259">
        <v>26.595489999999998</v>
      </c>
      <c r="AZ143" s="252">
        <v>68.48313</v>
      </c>
      <c r="BA143" s="252">
        <v>52.04202</v>
      </c>
      <c r="BB143" s="267">
        <f>Annually!S151-AY143-AZ143-BA143</f>
        <v>71.43455999999998</v>
      </c>
      <c r="BC143" s="259">
        <v>28.72587</v>
      </c>
      <c r="BD143" s="252">
        <v>19.955000000000002</v>
      </c>
      <c r="BE143" s="252">
        <v>52.857394</v>
      </c>
      <c r="BF143" s="267">
        <f>Annually!T151-BC143-BD143-BE143</f>
        <v>8.289200000000008</v>
      </c>
      <c r="BG143" s="259">
        <v>12.9374</v>
      </c>
      <c r="BH143" s="252">
        <v>8.799800000000001</v>
      </c>
      <c r="BI143" s="252">
        <v>48.969049999999996</v>
      </c>
      <c r="BJ143" s="267">
        <f>Annually!U151-BG143-BH143-BI143</f>
        <v>9.423000000000002</v>
      </c>
      <c r="BK143" s="523"/>
      <c r="BL143" s="158">
        <v>13.792</v>
      </c>
      <c r="BM143" s="158">
        <v>0.4429999999999996</v>
      </c>
      <c r="BN143" s="158">
        <v>7.2881800000000005</v>
      </c>
      <c r="BO143" s="159">
        <v>4.294999999999998</v>
      </c>
      <c r="BP143" s="160">
        <v>0.19999999999999998</v>
      </c>
      <c r="BQ143" s="161">
        <v>0.05300000000000002</v>
      </c>
      <c r="BR143" s="161">
        <v>0.046999999999999986</v>
      </c>
      <c r="BS143" s="162">
        <f>Annually!AC151-SUM(Quarterly!BP143:BR143)</f>
        <v>-0.3</v>
      </c>
      <c r="BT143" s="163">
        <v>0</v>
      </c>
      <c r="BU143" s="164">
        <v>0</v>
      </c>
      <c r="BV143" s="164">
        <v>0</v>
      </c>
      <c r="BW143" s="84"/>
      <c r="BX143" s="82"/>
      <c r="BY143" s="83"/>
      <c r="BZ143" s="83"/>
      <c r="CA143" s="85"/>
      <c r="CB143" s="261"/>
      <c r="CC143" s="86"/>
      <c r="CD143" s="86"/>
      <c r="CE143" s="86"/>
      <c r="CF143" s="261"/>
      <c r="CG143" s="86"/>
      <c r="CH143" s="86"/>
      <c r="CI143" s="86"/>
      <c r="CJ143" s="261"/>
      <c r="CK143" s="86"/>
      <c r="CL143" s="86"/>
      <c r="CM143" s="410">
        <f>Annually!AH151-CL143-CK143-CJ143</f>
        <v>2.946</v>
      </c>
      <c r="CN143" s="414">
        <v>3.4828</v>
      </c>
      <c r="CO143" s="121">
        <v>0</v>
      </c>
      <c r="CP143" s="121">
        <v>0</v>
      </c>
      <c r="CQ143" s="121">
        <f>Annually!AI151-CP143-CO143-CN143</f>
        <v>0.9159999999999995</v>
      </c>
      <c r="CR143" s="479">
        <v>0.924</v>
      </c>
      <c r="CS143" s="121">
        <v>1.392</v>
      </c>
      <c r="CT143" s="121">
        <v>1.6820000000000004</v>
      </c>
      <c r="CU143" s="121">
        <f>Annually!AJ151-CT143-CS143-CR143</f>
        <v>0</v>
      </c>
      <c r="CV143" s="414">
        <v>0</v>
      </c>
      <c r="CW143" s="121">
        <v>0.041</v>
      </c>
      <c r="CX143" s="121">
        <v>0</v>
      </c>
      <c r="CY143" s="121">
        <f>Annually!AK151-CV143-CW143-CX143</f>
        <v>2.37954</v>
      </c>
      <c r="CZ143" s="414">
        <v>36.078799999999994</v>
      </c>
      <c r="DA143" s="121">
        <v>22.17215000000001</v>
      </c>
      <c r="DB143" s="121">
        <v>22.721199999999996</v>
      </c>
      <c r="DC143" s="121">
        <f>Annually!AL151-CZ143-DA143-DB143</f>
        <v>39.54497</v>
      </c>
      <c r="DD143" s="414">
        <v>32.16337</v>
      </c>
      <c r="DE143" s="121">
        <v>32.466449999999995</v>
      </c>
      <c r="DF143" s="121">
        <v>22.198510000000013</v>
      </c>
      <c r="DG143" s="121">
        <f>Annually!AM151-DD143-DE143-DF143</f>
        <v>53.175650000000005</v>
      </c>
      <c r="DH143" s="414">
        <v>23.56463</v>
      </c>
      <c r="DI143" s="121">
        <v>68.91245999999998</v>
      </c>
      <c r="DJ143" s="121">
        <v>54.643550000000005</v>
      </c>
      <c r="DK143" s="121">
        <f>Annually!AN151-DH143-DI143-DJ143</f>
        <v>69.72906</v>
      </c>
      <c r="DL143" s="414">
        <v>30.431369999999998</v>
      </c>
      <c r="DM143" s="121">
        <v>30.906869999999998</v>
      </c>
      <c r="DN143" s="121">
        <v>20.534034</v>
      </c>
      <c r="DO143" s="121">
        <f>Annually!AO151-DL143-DM143-DN143</f>
        <v>29.280400000000007</v>
      </c>
      <c r="DP143" s="414">
        <v>12.9374</v>
      </c>
      <c r="DQ143" s="121">
        <v>8.7998</v>
      </c>
      <c r="DR143" s="121">
        <v>45.287099999999995</v>
      </c>
      <c r="DS143" s="121">
        <f>Annually!AP151-DP143-DQ143-DR143</f>
        <v>13.10495000000001</v>
      </c>
      <c r="EJ143" s="63"/>
    </row>
    <row r="144" spans="1:140" ht="15.75">
      <c r="A144" s="70" t="s">
        <v>126</v>
      </c>
      <c r="B144" s="70" t="s">
        <v>72</v>
      </c>
      <c r="C144" s="71">
        <v>82.510594</v>
      </c>
      <c r="D144" s="71">
        <v>81.567406</v>
      </c>
      <c r="E144" s="71">
        <v>89.56947299999999</v>
      </c>
      <c r="F144" s="72">
        <v>101.71747900000003</v>
      </c>
      <c r="G144" s="73">
        <v>90.9</v>
      </c>
      <c r="H144" s="71">
        <v>85.758308</v>
      </c>
      <c r="I144" s="71">
        <v>85.641692</v>
      </c>
      <c r="J144" s="72">
        <f>Annually!H152-SUM(G144:I144)</f>
        <v>108.69999999999999</v>
      </c>
      <c r="K144" s="249">
        <f aca="true" t="shared" si="523" ref="K144:U144">K146+K148+K150+K152</f>
        <v>94.55189000000001</v>
      </c>
      <c r="L144" s="249">
        <f t="shared" si="523"/>
        <v>93.78983</v>
      </c>
      <c r="M144" s="249">
        <f t="shared" si="523"/>
        <v>108.86474000000001</v>
      </c>
      <c r="N144" s="265">
        <f t="shared" si="523"/>
        <v>101.41126499999996</v>
      </c>
      <c r="O144" s="270">
        <f t="shared" si="523"/>
        <v>90.40599</v>
      </c>
      <c r="P144" s="249">
        <f t="shared" si="523"/>
        <v>105.189935</v>
      </c>
      <c r="Q144" s="249">
        <f t="shared" si="523"/>
        <v>99.932981</v>
      </c>
      <c r="R144" s="265">
        <f t="shared" si="523"/>
        <v>93.68044</v>
      </c>
      <c r="S144" s="253">
        <f t="shared" si="523"/>
        <v>98.30000000000001</v>
      </c>
      <c r="T144" s="254">
        <f t="shared" si="523"/>
        <v>93.156407</v>
      </c>
      <c r="U144" s="254">
        <f t="shared" si="523"/>
        <v>98.40217999999999</v>
      </c>
      <c r="V144" s="254">
        <f aca="true" t="shared" si="524" ref="V144:X145">V146+V148+V150+V152</f>
        <v>92.59635</v>
      </c>
      <c r="W144" s="253">
        <f t="shared" si="524"/>
        <v>89.44163</v>
      </c>
      <c r="X144" s="254">
        <f t="shared" si="524"/>
        <v>94.07136499999999</v>
      </c>
      <c r="Y144" s="254">
        <f aca="true" t="shared" si="525" ref="Y144:AD145">Y146+Y148+Y150+Y152</f>
        <v>114.187005</v>
      </c>
      <c r="Z144" s="254">
        <f t="shared" si="525"/>
        <v>103.10000000000001</v>
      </c>
      <c r="AA144" s="253">
        <f t="shared" si="525"/>
        <v>124.527267</v>
      </c>
      <c r="AB144" s="254">
        <f t="shared" si="525"/>
        <v>113.101298</v>
      </c>
      <c r="AC144" s="254">
        <f t="shared" si="525"/>
        <v>102.32509</v>
      </c>
      <c r="AD144" s="254">
        <f aca="true" t="shared" si="526" ref="AD144:AI144">AD146+AD148+AD150+AD152</f>
        <v>106.90225099999999</v>
      </c>
      <c r="AE144" s="253">
        <f t="shared" si="526"/>
        <v>85.803133</v>
      </c>
      <c r="AF144" s="254">
        <f t="shared" si="526"/>
        <v>91.38622999999998</v>
      </c>
      <c r="AG144" s="254">
        <f t="shared" si="526"/>
        <v>103.55230400000002</v>
      </c>
      <c r="AH144" s="254">
        <f t="shared" si="526"/>
        <v>105.492864</v>
      </c>
      <c r="AI144" s="464">
        <f t="shared" si="526"/>
        <v>111.383444</v>
      </c>
      <c r="AJ144" s="254">
        <f aca="true" t="shared" si="527" ref="AJ144:AN145">AJ146+AJ148+AJ150+AJ152</f>
        <v>105.51655600000001</v>
      </c>
      <c r="AK144" s="254">
        <f t="shared" si="527"/>
        <v>111.01821399999997</v>
      </c>
      <c r="AL144" s="254">
        <f t="shared" si="527"/>
        <v>116.69948700000003</v>
      </c>
      <c r="AM144" s="464">
        <f t="shared" si="527"/>
        <v>115.006534</v>
      </c>
      <c r="AN144" s="254">
        <f t="shared" si="527"/>
        <v>119.566107</v>
      </c>
      <c r="AO144" s="254">
        <f aca="true" t="shared" si="528" ref="AO144:AV145">AO146+AO148+AO150+AO152</f>
        <v>124.758961</v>
      </c>
      <c r="AP144" s="254">
        <f t="shared" si="528"/>
        <v>115.79859499999996</v>
      </c>
      <c r="AQ144" s="464">
        <f t="shared" si="528"/>
        <v>123.69711799999999</v>
      </c>
      <c r="AR144" s="254">
        <f t="shared" si="528"/>
        <v>117.87319600000001</v>
      </c>
      <c r="AS144" s="254">
        <f t="shared" si="528"/>
        <v>128.627318</v>
      </c>
      <c r="AT144" s="254">
        <f>AT146+AT148+AT150+AT152</f>
        <v>115.117177</v>
      </c>
      <c r="AU144" s="464">
        <f t="shared" si="528"/>
        <v>112.23614400000001</v>
      </c>
      <c r="AV144" s="254">
        <f t="shared" si="528"/>
        <v>74.382844</v>
      </c>
      <c r="AW144" s="254">
        <f aca="true" t="shared" si="529" ref="AW144:AZ145">AW146+AW148+AW150+AW152</f>
        <v>120.88039999999998</v>
      </c>
      <c r="AX144" s="269">
        <f t="shared" si="529"/>
        <v>115.44905999999996</v>
      </c>
      <c r="AY144" s="253">
        <f aca="true" t="shared" si="530" ref="AY144:BE144">AY146+AY148+AY150+AY152</f>
        <v>118.03088</v>
      </c>
      <c r="AZ144" s="254">
        <f t="shared" si="530"/>
        <v>122.51056</v>
      </c>
      <c r="BA144" s="254">
        <f t="shared" si="530"/>
        <v>126.44011</v>
      </c>
      <c r="BB144" s="269">
        <f t="shared" si="530"/>
        <v>107.04751000000003</v>
      </c>
      <c r="BC144" s="253">
        <f t="shared" si="530"/>
        <v>111.35646</v>
      </c>
      <c r="BD144" s="254">
        <f t="shared" si="530"/>
        <v>104.21073099999998</v>
      </c>
      <c r="BE144" s="254">
        <f t="shared" si="530"/>
        <v>82.68150400000002</v>
      </c>
      <c r="BF144" s="269">
        <f aca="true" t="shared" si="531" ref="BF144:BI145">BF146+BF148+BF150+BF152</f>
        <v>89.49348999999998</v>
      </c>
      <c r="BG144" s="253">
        <f t="shared" si="531"/>
        <v>87.64099</v>
      </c>
      <c r="BH144" s="254">
        <f t="shared" si="531"/>
        <v>91.48070800000002</v>
      </c>
      <c r="BI144" s="254">
        <f t="shared" si="531"/>
        <v>105.97518000000001</v>
      </c>
      <c r="BJ144" s="254">
        <f>BJ146+BJ148+BJ150+BJ152</f>
        <v>103.11103699999998</v>
      </c>
      <c r="BK144" s="523"/>
      <c r="BL144" s="77">
        <v>40.01458699999999</v>
      </c>
      <c r="BM144" s="77">
        <v>36.66636200000001</v>
      </c>
      <c r="BN144" s="77">
        <v>44.70945549999999</v>
      </c>
      <c r="BO144" s="78">
        <v>51.39491050000004</v>
      </c>
      <c r="BP144" s="79">
        <v>44.2</v>
      </c>
      <c r="BQ144" s="80">
        <v>44.36590699999999</v>
      </c>
      <c r="BR144" s="80">
        <v>40.434093000000004</v>
      </c>
      <c r="BS144" s="81">
        <f>Annually!AC152-SUM(Quarterly!BP144:BR144)</f>
        <v>53.5</v>
      </c>
      <c r="BT144" s="82">
        <f>BT146+BT148+BT150+BT152</f>
        <v>45.16372</v>
      </c>
      <c r="BU144" s="83">
        <f>BU146+BU148+BU150+BU152</f>
        <v>45.571526500000004</v>
      </c>
      <c r="BV144" s="83">
        <v>50.6647535</v>
      </c>
      <c r="BW144" s="84">
        <f>Annually!AD152-Quarterly!BV144-Quarterly!BU144-Quarterly!BT144</f>
        <v>48.64699999999995</v>
      </c>
      <c r="BX144" s="83">
        <f aca="true" t="shared" si="532" ref="BX144:CE144">BX146+BX148+BX152</f>
        <v>42.9</v>
      </c>
      <c r="BY144" s="83">
        <f t="shared" si="532"/>
        <v>49.867586</v>
      </c>
      <c r="BZ144" s="83">
        <f t="shared" si="532"/>
        <v>48.53241399999999</v>
      </c>
      <c r="CA144" s="85">
        <f t="shared" si="532"/>
        <v>45.40040450000001</v>
      </c>
      <c r="CB144" s="261">
        <f t="shared" si="532"/>
        <v>49</v>
      </c>
      <c r="CC144" s="86">
        <f t="shared" si="532"/>
        <v>45.5</v>
      </c>
      <c r="CD144" s="86">
        <f t="shared" si="532"/>
        <v>49.0129015</v>
      </c>
      <c r="CE144" s="86">
        <f t="shared" si="532"/>
        <v>48.91953850000001</v>
      </c>
      <c r="CF144" s="261">
        <f aca="true" t="shared" si="533" ref="CF144:CN144">CF146+CF148+CF152</f>
        <v>43.986016</v>
      </c>
      <c r="CG144" s="86">
        <f t="shared" si="533"/>
        <v>46.2300885</v>
      </c>
      <c r="CH144" s="86">
        <f t="shared" si="533"/>
        <v>55.88389549999998</v>
      </c>
      <c r="CI144" s="86">
        <f t="shared" si="533"/>
        <v>48.7</v>
      </c>
      <c r="CJ144" s="261">
        <f t="shared" si="533"/>
        <v>59.7062015</v>
      </c>
      <c r="CK144" s="86">
        <f t="shared" si="533"/>
        <v>53.000940499999906</v>
      </c>
      <c r="CL144" s="86">
        <f t="shared" si="533"/>
        <v>49.93132750000008</v>
      </c>
      <c r="CM144" s="408">
        <f>CM146+CM148+CM152</f>
        <v>51.430501000000305</v>
      </c>
      <c r="CN144" s="261">
        <f t="shared" si="533"/>
        <v>40.4945445</v>
      </c>
      <c r="CO144" s="86">
        <f aca="true" t="shared" si="534" ref="CO144:CT144">CO146+CO148+CO152</f>
        <v>43.132528</v>
      </c>
      <c r="CP144" s="86">
        <f t="shared" si="534"/>
        <v>49.4519095</v>
      </c>
      <c r="CQ144" s="86">
        <f t="shared" si="534"/>
        <v>53.728033499999995</v>
      </c>
      <c r="CR144" s="476">
        <f t="shared" si="534"/>
        <v>56.64543200000001</v>
      </c>
      <c r="CS144" s="86">
        <f t="shared" si="534"/>
        <v>52.6567995</v>
      </c>
      <c r="CT144" s="86">
        <f t="shared" si="534"/>
        <v>54.61067999999999</v>
      </c>
      <c r="CU144" s="86">
        <f>CU146+CU148+CU152</f>
        <v>58.76340000000001</v>
      </c>
      <c r="CV144" s="412">
        <f>CV146+CV148+CV152</f>
        <v>59.29905099999999</v>
      </c>
      <c r="CW144" s="86">
        <f>CW146+CW148+CW152</f>
        <v>59.367949000000024</v>
      </c>
      <c r="CX144" s="86">
        <f>CX146+CX148+CX152</f>
        <v>59.52960599999997</v>
      </c>
      <c r="CY144" s="86">
        <f>Annually!AK152-CV144-CW144-CX144</f>
        <v>58.27742700000003</v>
      </c>
      <c r="CZ144" s="412">
        <f>CZ146+CZ148+CZ152</f>
        <v>59.504673499999996</v>
      </c>
      <c r="DA144" s="86">
        <f>DA146+DA148+DA152</f>
        <v>58.546515</v>
      </c>
      <c r="DB144" s="86">
        <f>DB146+DB148+DB152</f>
        <v>61.118562999999966</v>
      </c>
      <c r="DC144" s="86">
        <f>Annually!AL152-CZ144-DA144-DB144</f>
        <v>58.008076500000016</v>
      </c>
      <c r="DD144" s="412">
        <f>DD146+DD148+DD152</f>
        <v>57.076285999999996</v>
      </c>
      <c r="DE144" s="86">
        <f>DE146+DE148+DE152</f>
        <v>36.26519450000001</v>
      </c>
      <c r="DF144" s="86">
        <f>DF146+DF148+DF152</f>
        <v>59.886631499999986</v>
      </c>
      <c r="DG144" s="86">
        <f>Annually!AM152-DD144-DE144-DF144</f>
        <v>57.39355700000002</v>
      </c>
      <c r="DH144" s="412">
        <f>DH146+DH148+DH152</f>
        <v>56.2682255</v>
      </c>
      <c r="DI144" s="86">
        <f>DI146+DI148+DI152</f>
        <v>59.148064</v>
      </c>
      <c r="DJ144" s="86">
        <f>DJ146+DJ148+DJ152</f>
        <v>59.622940500000006</v>
      </c>
      <c r="DK144" s="86">
        <f>Annually!AN152-DH144-DI144-DJ144</f>
        <v>52.43411600000001</v>
      </c>
      <c r="DL144" s="412">
        <f>DL146+DL148+DL152</f>
        <v>54.3298845</v>
      </c>
      <c r="DM144" s="86">
        <f>DM146+DM148+DM152</f>
        <v>49.7503595</v>
      </c>
      <c r="DN144" s="86">
        <f>DN146+DN148+DN152</f>
        <v>40.62322400000001</v>
      </c>
      <c r="DO144" s="86">
        <f>Annually!AO152-DL144-DM144-DN144</f>
        <v>44.63405200000001</v>
      </c>
      <c r="DP144" s="412">
        <f>DP146+DP148+DP152</f>
        <v>41.602466</v>
      </c>
      <c r="DQ144" s="86">
        <f>DQ146+DQ148+DQ152</f>
        <v>43.49200449999999</v>
      </c>
      <c r="DR144" s="86">
        <f>DR146+DR148+DR152</f>
        <v>49.0788555</v>
      </c>
      <c r="DS144" s="86">
        <f>Annually!AP152-DP144-DQ144-DR144</f>
        <v>48.19497700000001</v>
      </c>
      <c r="EJ144" s="62"/>
    </row>
    <row r="145" spans="1:169" s="129" customFormat="1" ht="15.75">
      <c r="A145" s="100" t="s">
        <v>104</v>
      </c>
      <c r="B145" s="100" t="s">
        <v>93</v>
      </c>
      <c r="C145" s="101">
        <v>43.134001</v>
      </c>
      <c r="D145" s="101">
        <v>44.19489200000001</v>
      </c>
      <c r="E145" s="101">
        <v>44.651673</v>
      </c>
      <c r="F145" s="102">
        <v>50.42406999999997</v>
      </c>
      <c r="G145" s="103">
        <v>45.800000000000004</v>
      </c>
      <c r="H145" s="101">
        <v>41.89246099999999</v>
      </c>
      <c r="I145" s="101">
        <v>44.10753900000001</v>
      </c>
      <c r="J145" s="102">
        <f>Annually!H153-SUM(G145:I145)</f>
        <v>56.69999999999999</v>
      </c>
      <c r="K145" s="250">
        <f aca="true" t="shared" si="535" ref="K145:U145">K147+K149+K151+K153</f>
        <v>49.55200000000001</v>
      </c>
      <c r="L145" s="250">
        <f t="shared" si="535"/>
        <v>48.676958000000006</v>
      </c>
      <c r="M145" s="250">
        <f t="shared" si="535"/>
        <v>56.550270999999974</v>
      </c>
      <c r="N145" s="264">
        <f t="shared" si="535"/>
        <v>53.64137600000003</v>
      </c>
      <c r="O145" s="271">
        <f t="shared" si="535"/>
        <v>47.651263500000006</v>
      </c>
      <c r="P145" s="250">
        <f t="shared" si="535"/>
        <v>55.05281500000001</v>
      </c>
      <c r="Q145" s="250">
        <f t="shared" si="535"/>
        <v>46.26919599999999</v>
      </c>
      <c r="R145" s="264">
        <f t="shared" si="535"/>
        <v>53.42507199999999</v>
      </c>
      <c r="S145" s="256">
        <f t="shared" si="535"/>
        <v>49.8</v>
      </c>
      <c r="T145" s="257">
        <f t="shared" si="535"/>
        <v>47.59748200000001</v>
      </c>
      <c r="U145" s="257">
        <f t="shared" si="535"/>
        <v>49.71596750000001</v>
      </c>
      <c r="V145" s="257">
        <f t="shared" si="524"/>
        <v>29.115760499999993</v>
      </c>
      <c r="W145" s="256">
        <f t="shared" si="524"/>
        <v>44.8103025</v>
      </c>
      <c r="X145" s="257">
        <f t="shared" si="524"/>
        <v>47.851250500000006</v>
      </c>
      <c r="Y145" s="257">
        <f t="shared" si="525"/>
        <v>58.838447</v>
      </c>
      <c r="Z145" s="257">
        <f t="shared" si="525"/>
        <v>55</v>
      </c>
      <c r="AA145" s="256">
        <f t="shared" si="525"/>
        <v>64.822985</v>
      </c>
      <c r="AB145" s="257">
        <f t="shared" si="525"/>
        <v>59.006167</v>
      </c>
      <c r="AC145" s="257">
        <f t="shared" si="525"/>
        <v>53.424394000000014</v>
      </c>
      <c r="AD145" s="257">
        <f t="shared" si="525"/>
        <v>54.62723499999998</v>
      </c>
      <c r="AE145" s="256">
        <f>AE147+AE149+AE151+AE153</f>
        <v>44.674986</v>
      </c>
      <c r="AF145" s="257">
        <f>AF147+AF149+AF151+AF153</f>
        <v>48.607517</v>
      </c>
      <c r="AG145" s="257">
        <f>AG147+AG149+AG151+AG153</f>
        <v>53.820567</v>
      </c>
      <c r="AH145" s="257">
        <f>AH147+AH149+AH151+AH153</f>
        <v>52.371804</v>
      </c>
      <c r="AI145" s="465">
        <f>AI147+AI149+AI151+AI153</f>
        <v>55.30876</v>
      </c>
      <c r="AJ145" s="257">
        <f t="shared" si="527"/>
        <v>51.52855199999999</v>
      </c>
      <c r="AK145" s="257">
        <f t="shared" si="527"/>
        <v>56.90183600000002</v>
      </c>
      <c r="AL145" s="257">
        <f t="shared" si="527"/>
        <v>57.18279599999999</v>
      </c>
      <c r="AM145" s="465">
        <f>AM147+AM149+AM151+AM153</f>
        <v>57.563569</v>
      </c>
      <c r="AN145" s="257">
        <f>AN147+AN149+AN151+AN153</f>
        <v>59.338788</v>
      </c>
      <c r="AO145" s="257">
        <f t="shared" si="528"/>
        <v>64.29765549999999</v>
      </c>
      <c r="AP145" s="257">
        <f t="shared" si="528"/>
        <v>58.0484555</v>
      </c>
      <c r="AQ145" s="465">
        <f t="shared" si="528"/>
        <v>63.152390000000004</v>
      </c>
      <c r="AR145" s="257">
        <f>AR147+AR149+AR151+AR153</f>
        <v>61.363049999999994</v>
      </c>
      <c r="AS145" s="257">
        <f>AS147+AS149+AS151+AS153</f>
        <v>66.07392399999998</v>
      </c>
      <c r="AT145" s="257">
        <f>AT147+AT149+AT151+AT153</f>
        <v>57.22415699999999</v>
      </c>
      <c r="AU145" s="465">
        <f t="shared" si="528"/>
        <v>55.46293300000001</v>
      </c>
      <c r="AV145" s="257">
        <f>AV147+AV149+AV151+AV153</f>
        <v>38.834002000000005</v>
      </c>
      <c r="AW145" s="257">
        <f t="shared" si="529"/>
        <v>61.170101999999986</v>
      </c>
      <c r="AX145" s="268">
        <f t="shared" si="529"/>
        <v>57.6751865</v>
      </c>
      <c r="AY145" s="256">
        <f t="shared" si="529"/>
        <v>61.814866</v>
      </c>
      <c r="AZ145" s="257">
        <f t="shared" si="529"/>
        <v>62.838879999999996</v>
      </c>
      <c r="BA145" s="257">
        <f>BA147+BA149+BA151+BA153</f>
        <v>66.476012</v>
      </c>
      <c r="BB145" s="268">
        <f>BB147+BB149+BB151+BB153</f>
        <v>54.77017999999997</v>
      </c>
      <c r="BC145" s="256">
        <f>BC147+BC149+BC151+BC153</f>
        <v>56.899832999999994</v>
      </c>
      <c r="BD145" s="257">
        <f>BD147+BD149+BD151+BD153</f>
        <v>55.616786</v>
      </c>
      <c r="BE145" s="257">
        <f>BE147+BE149+BE151+BE153</f>
        <v>41.477974</v>
      </c>
      <c r="BF145" s="268">
        <f t="shared" si="531"/>
        <v>45.037855</v>
      </c>
      <c r="BG145" s="256">
        <f t="shared" si="531"/>
        <v>46.394074</v>
      </c>
      <c r="BH145" s="257">
        <f t="shared" si="531"/>
        <v>48.01436699999999</v>
      </c>
      <c r="BI145" s="257">
        <f>BI147+BI149+BI151+BI153</f>
        <v>56.580155999999995</v>
      </c>
      <c r="BJ145" s="257">
        <f>BJ147+BJ149+BJ151+BJ153</f>
        <v>53.796399</v>
      </c>
      <c r="BK145" s="535"/>
      <c r="BL145" s="398"/>
      <c r="BM145" s="398"/>
      <c r="BN145" s="398"/>
      <c r="BO145" s="399"/>
      <c r="BP145" s="400"/>
      <c r="BQ145" s="401"/>
      <c r="BR145" s="401"/>
      <c r="BS145" s="402"/>
      <c r="BT145" s="153"/>
      <c r="BU145" s="154"/>
      <c r="BV145" s="154"/>
      <c r="BW145" s="152"/>
      <c r="BX145" s="153"/>
      <c r="BY145" s="154"/>
      <c r="BZ145" s="154"/>
      <c r="CA145" s="155"/>
      <c r="CB145" s="262"/>
      <c r="CC145" s="104"/>
      <c r="CD145" s="104"/>
      <c r="CE145" s="104"/>
      <c r="CF145" s="262"/>
      <c r="CG145" s="104"/>
      <c r="CH145" s="104"/>
      <c r="CI145" s="104"/>
      <c r="CJ145" s="262"/>
      <c r="CK145" s="104"/>
      <c r="CL145" s="104"/>
      <c r="CM145" s="409"/>
      <c r="CN145" s="413"/>
      <c r="CO145" s="104"/>
      <c r="CP145" s="104"/>
      <c r="CQ145" s="104"/>
      <c r="CR145" s="478"/>
      <c r="CS145" s="104"/>
      <c r="CT145" s="104"/>
      <c r="CU145" s="104"/>
      <c r="CV145" s="413"/>
      <c r="CW145" s="104"/>
      <c r="CX145" s="104"/>
      <c r="CY145" s="111"/>
      <c r="CZ145" s="413"/>
      <c r="DA145" s="104"/>
      <c r="DB145" s="104"/>
      <c r="DC145" s="111"/>
      <c r="DD145" s="413"/>
      <c r="DE145" s="104"/>
      <c r="DF145" s="104"/>
      <c r="DG145" s="111"/>
      <c r="DH145" s="413"/>
      <c r="DI145" s="104"/>
      <c r="DJ145" s="104"/>
      <c r="DK145" s="111"/>
      <c r="DL145" s="413"/>
      <c r="DM145" s="104"/>
      <c r="DN145" s="104"/>
      <c r="DO145" s="111"/>
      <c r="DP145" s="413"/>
      <c r="DQ145" s="104"/>
      <c r="DR145" s="104"/>
      <c r="DS145" s="111"/>
      <c r="DT145" s="156"/>
      <c r="DU145" s="156"/>
      <c r="DV145" s="156"/>
      <c r="DW145" s="156"/>
      <c r="DX145" s="156"/>
      <c r="DY145" s="156"/>
      <c r="DZ145" s="156"/>
      <c r="EA145" s="156"/>
      <c r="EB145" s="156"/>
      <c r="EC145" s="156"/>
      <c r="ED145" s="156"/>
      <c r="EE145" s="156"/>
      <c r="EF145" s="156"/>
      <c r="EG145" s="156"/>
      <c r="EH145" s="156"/>
      <c r="EI145" s="156"/>
      <c r="EJ145" s="127"/>
      <c r="EK145" s="156"/>
      <c r="EL145" s="156"/>
      <c r="EM145" s="156"/>
      <c r="EN145" s="156"/>
      <c r="EO145" s="156"/>
      <c r="EP145" s="156"/>
      <c r="EQ145" s="156"/>
      <c r="ER145" s="156"/>
      <c r="ES145" s="156"/>
      <c r="ET145" s="156"/>
      <c r="EU145" s="156"/>
      <c r="EV145" s="156"/>
      <c r="EW145" s="156"/>
      <c r="EX145" s="156"/>
      <c r="EY145" s="156"/>
      <c r="EZ145" s="156"/>
      <c r="FA145" s="156"/>
      <c r="FB145" s="156"/>
      <c r="FC145" s="156"/>
      <c r="FD145" s="156"/>
      <c r="FE145" s="156"/>
      <c r="FF145" s="156"/>
      <c r="FG145" s="156"/>
      <c r="FH145" s="156"/>
      <c r="FI145" s="156"/>
      <c r="FJ145" s="156"/>
      <c r="FK145" s="156"/>
      <c r="FL145" s="156"/>
      <c r="FM145" s="156"/>
    </row>
    <row r="146" spans="1:140" ht="15.75">
      <c r="A146" s="117" t="s">
        <v>73</v>
      </c>
      <c r="B146" s="117" t="s">
        <v>74</v>
      </c>
      <c r="C146" s="118">
        <v>15.63</v>
      </c>
      <c r="D146" s="118">
        <v>16.18</v>
      </c>
      <c r="E146" s="118">
        <v>20.635</v>
      </c>
      <c r="F146" s="119">
        <v>24.29</v>
      </c>
      <c r="G146" s="120">
        <v>20</v>
      </c>
      <c r="H146" s="118">
        <v>21.659999999999997</v>
      </c>
      <c r="I146" s="118">
        <v>18.440000000000005</v>
      </c>
      <c r="J146" s="119">
        <f>Annually!H154-SUM(G146:I146)</f>
        <v>21.6</v>
      </c>
      <c r="K146" s="259">
        <v>18.7</v>
      </c>
      <c r="L146" s="252">
        <v>18.7</v>
      </c>
      <c r="M146" s="252">
        <v>21.52</v>
      </c>
      <c r="N146" s="267">
        <f>Annually!I154-Quarterly!M146-L146-K146</f>
        <v>18.870000000000008</v>
      </c>
      <c r="O146" s="259">
        <v>18.51</v>
      </c>
      <c r="P146" s="251">
        <f>39.1-O146</f>
        <v>20.59</v>
      </c>
      <c r="Q146" s="251">
        <v>20.599999999999998</v>
      </c>
      <c r="R146" s="266">
        <f>-Q146-P146-O146+Annually!J154</f>
        <v>20.205</v>
      </c>
      <c r="S146" s="259">
        <v>21.6</v>
      </c>
      <c r="T146" s="252">
        <v>18.375</v>
      </c>
      <c r="U146" s="252">
        <v>22.284999999999997</v>
      </c>
      <c r="V146" s="252">
        <v>25.6</v>
      </c>
      <c r="W146" s="259">
        <v>20.86</v>
      </c>
      <c r="X146" s="252">
        <v>18.93</v>
      </c>
      <c r="Y146" s="252">
        <v>23.21</v>
      </c>
      <c r="Z146" s="252">
        <f>Annually!L154-Y146-X146-W146</f>
        <v>19.700000000000003</v>
      </c>
      <c r="AA146" s="259">
        <v>25.13</v>
      </c>
      <c r="AB146" s="252">
        <v>22.750000000000004</v>
      </c>
      <c r="AC146" s="252">
        <v>20.12</v>
      </c>
      <c r="AD146" s="252">
        <f>Annually!M154-AC146-AB146-AA146</f>
        <v>22.844999999999995</v>
      </c>
      <c r="AE146" s="259">
        <v>17.065</v>
      </c>
      <c r="AF146" s="252">
        <v>18.02</v>
      </c>
      <c r="AG146" s="257">
        <v>20.215</v>
      </c>
      <c r="AH146" s="252">
        <f>Annually!N154-AG146-AF146-AE146</f>
        <v>25.165000000000003</v>
      </c>
      <c r="AI146" s="275">
        <v>24.635</v>
      </c>
      <c r="AJ146" s="252">
        <v>26.365</v>
      </c>
      <c r="AK146" s="252">
        <v>22.580000000000002</v>
      </c>
      <c r="AL146" s="252">
        <f>Annually!O154-AK146-AJ146-AI146</f>
        <v>27.94500000000001</v>
      </c>
      <c r="AM146" s="275">
        <v>26.41</v>
      </c>
      <c r="AN146" s="252">
        <v>27.605</v>
      </c>
      <c r="AO146" s="252">
        <v>26.400000000000002</v>
      </c>
      <c r="AP146" s="252">
        <f>Annually!P154-AM146-AN146-AO146</f>
        <v>27.16</v>
      </c>
      <c r="AQ146" s="275">
        <v>27.15</v>
      </c>
      <c r="AR146" s="252">
        <v>23.690000000000005</v>
      </c>
      <c r="AS146" s="252">
        <v>27.599999999999994</v>
      </c>
      <c r="AT146" s="252">
        <f>Annually!Q154-AQ146-AR146-AS146</f>
        <v>27.70000000000001</v>
      </c>
      <c r="AU146" s="275">
        <v>27.45</v>
      </c>
      <c r="AV146" s="252">
        <v>16.470000000000002</v>
      </c>
      <c r="AW146" s="252">
        <v>27.030000000000005</v>
      </c>
      <c r="AX146" s="267">
        <f>Annually!R154-AU146-AV146-AW146</f>
        <v>26.879999999999978</v>
      </c>
      <c r="AY146" s="259">
        <v>26</v>
      </c>
      <c r="AZ146" s="252">
        <v>27.175</v>
      </c>
      <c r="BA146" s="252">
        <v>27.67</v>
      </c>
      <c r="BB146" s="267">
        <f>Annually!S154-AY146-AZ146-BA146</f>
        <v>24.50999999999999</v>
      </c>
      <c r="BC146" s="259">
        <v>27.665</v>
      </c>
      <c r="BD146" s="252">
        <v>22.03</v>
      </c>
      <c r="BE146" s="252">
        <v>21.85</v>
      </c>
      <c r="BF146" s="267">
        <f>Annually!T154-BC146-BD146-BE146</f>
        <v>23.62999999999999</v>
      </c>
      <c r="BG146" s="259">
        <v>20.015</v>
      </c>
      <c r="BH146" s="252">
        <v>19.915</v>
      </c>
      <c r="BI146" s="252">
        <v>23.840000000000003</v>
      </c>
      <c r="BJ146" s="267">
        <f>Annually!U154-BG146-BH146-BI146</f>
        <v>25.785000000000004</v>
      </c>
      <c r="BK146" s="523"/>
      <c r="BL146" s="158">
        <v>0.5227930000000001</v>
      </c>
      <c r="BM146" s="158">
        <v>0.5351489999999999</v>
      </c>
      <c r="BN146" s="158">
        <v>4.035629500000001</v>
      </c>
      <c r="BO146" s="159">
        <v>5.710671499999999</v>
      </c>
      <c r="BP146" s="160">
        <v>3.7</v>
      </c>
      <c r="BQ146" s="161">
        <v>5.456663999999999</v>
      </c>
      <c r="BR146" s="161">
        <v>1.8433360000000008</v>
      </c>
      <c r="BS146" s="162">
        <f>Annually!AC154-SUM(Quarterly!BP146:BR146)</f>
        <v>2.3000000000000007</v>
      </c>
      <c r="BT146" s="163">
        <v>0.592842</v>
      </c>
      <c r="BU146" s="164">
        <v>1.7260214999999999</v>
      </c>
      <c r="BV146" s="164">
        <v>1.3811365000000002</v>
      </c>
      <c r="BW146" s="165">
        <f>Annually!AD154-Quarterly!BV146-Quarterly!BU146-Quarterly!BT146</f>
        <v>0.8249999999999994</v>
      </c>
      <c r="BX146" s="163">
        <v>0.9</v>
      </c>
      <c r="BY146" s="164">
        <f>2.10131+0.035846-BX146</f>
        <v>1.2371559999999997</v>
      </c>
      <c r="BZ146" s="164">
        <v>2.2628440000000007</v>
      </c>
      <c r="CA146" s="166">
        <f>-BZ146-BY146-BX146+Annually!AE154</f>
        <v>2.8565385</v>
      </c>
      <c r="CB146" s="263">
        <v>3.8</v>
      </c>
      <c r="CC146" s="121">
        <v>1.7999999999999998</v>
      </c>
      <c r="CD146" s="121">
        <v>5.7167745000000005</v>
      </c>
      <c r="CE146" s="121">
        <v>9.4832255</v>
      </c>
      <c r="CF146" s="263">
        <v>4.893006</v>
      </c>
      <c r="CG146" s="121">
        <v>2.6096135</v>
      </c>
      <c r="CH146" s="121">
        <v>3.1973804999999995</v>
      </c>
      <c r="CI146" s="121">
        <f>Annually!AG154-CH146-CG146-CF146</f>
        <v>1.5</v>
      </c>
      <c r="CJ146" s="263">
        <v>2.0425705</v>
      </c>
      <c r="CK146" s="121">
        <v>0.6660895</v>
      </c>
      <c r="CL146" s="121">
        <v>2.4364945000000002</v>
      </c>
      <c r="CM146" s="410">
        <f>Annually!AH154-CL146-CK146-CJ146</f>
        <v>2.7276119999999997</v>
      </c>
      <c r="CN146" s="414">
        <v>0.8888865</v>
      </c>
      <c r="CO146" s="121">
        <v>0.7566379999999998</v>
      </c>
      <c r="CP146" s="121">
        <v>1.5785915000000004</v>
      </c>
      <c r="CQ146" s="121">
        <f>Annually!AI154-CP146-CO146-CN146</f>
        <v>6.4874465</v>
      </c>
      <c r="CR146" s="479">
        <v>4.921444999999999</v>
      </c>
      <c r="CS146" s="121">
        <v>5.763852500000001</v>
      </c>
      <c r="CT146" s="121">
        <v>2.370722999999998</v>
      </c>
      <c r="CU146" s="121">
        <f>Annually!AJ154-CT146-CS146-CR146</f>
        <v>6.2909669999999975</v>
      </c>
      <c r="CV146" s="414">
        <v>6.0899589999999995</v>
      </c>
      <c r="CW146" s="121">
        <v>5.105997000000001</v>
      </c>
      <c r="CX146" s="121">
        <v>3.0047900000000007</v>
      </c>
      <c r="CY146" s="121">
        <f>Annually!AK154-CV146-CW146-CX146</f>
        <v>6.376941999999999</v>
      </c>
      <c r="CZ146" s="414">
        <v>3.8608614999999995</v>
      </c>
      <c r="DA146" s="121">
        <v>2.4952840000000007</v>
      </c>
      <c r="DB146" s="121">
        <v>2.0308639999999993</v>
      </c>
      <c r="DC146" s="121">
        <f>Annually!AL154-CZ146-DA146-DB146</f>
        <v>7.019988500000002</v>
      </c>
      <c r="DD146" s="414">
        <v>6.097256999999999</v>
      </c>
      <c r="DE146" s="121">
        <v>2.371674500000001</v>
      </c>
      <c r="DF146" s="121">
        <v>5.7011415</v>
      </c>
      <c r="DG146" s="121">
        <f>Annually!AM154-DD146-DE146-DF146</f>
        <v>5.525116999999996</v>
      </c>
      <c r="DH146" s="414">
        <v>3.2561355</v>
      </c>
      <c r="DI146" s="121">
        <v>3.5991040000000005</v>
      </c>
      <c r="DJ146" s="121">
        <v>2.5927305</v>
      </c>
      <c r="DK146" s="121">
        <f>Annually!AN154-DH146-DI146-DJ146</f>
        <v>4.990186</v>
      </c>
      <c r="DL146" s="414">
        <v>5.615724500000001</v>
      </c>
      <c r="DM146" s="121">
        <v>2.3124285</v>
      </c>
      <c r="DN146" s="121">
        <v>6.01272</v>
      </c>
      <c r="DO146" s="121">
        <f>Annually!AO154-DL146-DM146-DN146</f>
        <v>6.5525619999999964</v>
      </c>
      <c r="DP146" s="414">
        <v>3.0302759999999997</v>
      </c>
      <c r="DQ146" s="121">
        <v>2.1794965</v>
      </c>
      <c r="DR146" s="121">
        <v>2.7748455</v>
      </c>
      <c r="DS146" s="121">
        <f>Annually!AP154-DP146-DQ146-DR146</f>
        <v>4.877769999999998</v>
      </c>
      <c r="EJ146" s="63"/>
    </row>
    <row r="147" spans="1:169" s="129" customFormat="1" ht="15">
      <c r="A147" s="100" t="s">
        <v>104</v>
      </c>
      <c r="B147" s="100" t="s">
        <v>93</v>
      </c>
      <c r="C147" s="101">
        <v>14.801001</v>
      </c>
      <c r="D147" s="101">
        <v>15.830492000000003</v>
      </c>
      <c r="E147" s="101">
        <v>16.628072999999997</v>
      </c>
      <c r="F147" s="102">
        <v>18.404069999999997</v>
      </c>
      <c r="G147" s="103">
        <v>16.8</v>
      </c>
      <c r="H147" s="101">
        <v>15.412561</v>
      </c>
      <c r="I147" s="101">
        <v>16.487439000000006</v>
      </c>
      <c r="J147" s="102">
        <f>Annually!H155-SUM(G147:I147)</f>
        <v>20.39999999999999</v>
      </c>
      <c r="K147" s="256">
        <f>18.028-0.029</f>
        <v>17.999</v>
      </c>
      <c r="L147" s="257">
        <v>16.857058000000006</v>
      </c>
      <c r="M147" s="257">
        <v>19.742670999999998</v>
      </c>
      <c r="N147" s="268">
        <f>Annually!I155-Quarterly!M147-L147-K147</f>
        <v>18.969875999999996</v>
      </c>
      <c r="O147" s="256">
        <v>17.2014635</v>
      </c>
      <c r="P147" s="250">
        <f>36.5052255-0.036947-O147</f>
        <v>19.266815000000005</v>
      </c>
      <c r="Q147" s="250">
        <v>18.213995999999998</v>
      </c>
      <c r="R147" s="264">
        <f>-Q147-P147-O147+Annually!J155</f>
        <v>17.160271999999992</v>
      </c>
      <c r="S147" s="256">
        <v>18.2</v>
      </c>
      <c r="T147" s="257">
        <v>16.315882</v>
      </c>
      <c r="U147" s="257">
        <v>17.245467500000007</v>
      </c>
      <c r="V147" s="257">
        <v>15.5808605</v>
      </c>
      <c r="W147" s="256">
        <v>15.1787025</v>
      </c>
      <c r="X147" s="257">
        <v>16.6110505</v>
      </c>
      <c r="Y147" s="257">
        <v>20.810247000000004</v>
      </c>
      <c r="Z147" s="257">
        <f>Annually!L155-Y147-X147-W147</f>
        <v>18.099999999999994</v>
      </c>
      <c r="AA147" s="256">
        <v>23.259885</v>
      </c>
      <c r="AB147" s="257">
        <v>21.446167</v>
      </c>
      <c r="AC147" s="257">
        <v>18.266994000000008</v>
      </c>
      <c r="AD147" s="257">
        <f>Annually!M155-AC147-AB147-AA147</f>
        <v>19.375734999999988</v>
      </c>
      <c r="AE147" s="256">
        <v>15.621786</v>
      </c>
      <c r="AF147" s="257">
        <v>17.555917</v>
      </c>
      <c r="AG147" s="257">
        <v>18.791767</v>
      </c>
      <c r="AH147" s="257">
        <f>Annually!N155-AG147-AF147-AE147</f>
        <v>19.285203999999993</v>
      </c>
      <c r="AI147" s="465">
        <v>19.72326</v>
      </c>
      <c r="AJ147" s="257">
        <v>19.274052</v>
      </c>
      <c r="AK147" s="257">
        <v>21.186236000000005</v>
      </c>
      <c r="AL147" s="257">
        <f>Annually!O155-AK147-AJ147-AI147</f>
        <v>21.60699599999999</v>
      </c>
      <c r="AM147" s="465">
        <v>20.918468999999998</v>
      </c>
      <c r="AN147" s="257">
        <v>22.031388000000003</v>
      </c>
      <c r="AO147" s="257">
        <v>23.45165549999999</v>
      </c>
      <c r="AP147" s="257">
        <f>Annually!P155-AM147-AN147-AO147</f>
        <v>20.9739555</v>
      </c>
      <c r="AQ147" s="465">
        <v>22.50399</v>
      </c>
      <c r="AR147" s="257">
        <v>22.36775</v>
      </c>
      <c r="AS147" s="257">
        <v>24.658023999999983</v>
      </c>
      <c r="AT147" s="257">
        <f>Annually!Q155-AQ147-AR147-AS147</f>
        <v>21.079757</v>
      </c>
      <c r="AU147" s="465">
        <v>20.278933000000002</v>
      </c>
      <c r="AV147" s="257">
        <v>14.952702000000002</v>
      </c>
      <c r="AW147" s="257">
        <v>21.94310199999999</v>
      </c>
      <c r="AX147" s="268">
        <f>Annually!R155-AU147-AV147-AW147</f>
        <v>21.2861865</v>
      </c>
      <c r="AY147" s="256">
        <v>22.507866</v>
      </c>
      <c r="AZ147" s="257">
        <v>23.17288</v>
      </c>
      <c r="BA147" s="257">
        <v>24.984012</v>
      </c>
      <c r="BB147" s="268">
        <f>Annually!S155-AY147-AZ147-BA147</f>
        <v>20.053179999999998</v>
      </c>
      <c r="BC147" s="256">
        <v>21.261833</v>
      </c>
      <c r="BD147" s="257">
        <v>20.493286</v>
      </c>
      <c r="BE147" s="257">
        <v>15.397974000000001</v>
      </c>
      <c r="BF147" s="268">
        <f>Annually!T155-BC147-BD147-BE147</f>
        <v>17.259855000000005</v>
      </c>
      <c r="BG147" s="256">
        <v>17.356074</v>
      </c>
      <c r="BH147" s="257">
        <v>17.594367</v>
      </c>
      <c r="BI147" s="257">
        <v>21.145156</v>
      </c>
      <c r="BJ147" s="268">
        <f>Annually!U155-BG147-BH147-BI147</f>
        <v>20.911399000000003</v>
      </c>
      <c r="BK147" s="535"/>
      <c r="BL147" s="145"/>
      <c r="BM147" s="145"/>
      <c r="BN147" s="145"/>
      <c r="BO147" s="146"/>
      <c r="BP147" s="147"/>
      <c r="BQ147" s="148"/>
      <c r="BR147" s="148"/>
      <c r="BS147" s="149"/>
      <c r="BT147" s="150"/>
      <c r="BU147" s="151"/>
      <c r="BV147" s="151"/>
      <c r="BW147" s="152"/>
      <c r="BX147" s="153"/>
      <c r="BY147" s="154"/>
      <c r="BZ147" s="154"/>
      <c r="CA147" s="155"/>
      <c r="CB147" s="262"/>
      <c r="CC147" s="104"/>
      <c r="CD147" s="104"/>
      <c r="CE147" s="104"/>
      <c r="CF147" s="262"/>
      <c r="CG147" s="104"/>
      <c r="CH147" s="104"/>
      <c r="CI147" s="104"/>
      <c r="CJ147" s="262"/>
      <c r="CK147" s="104"/>
      <c r="CL147" s="104"/>
      <c r="CM147" s="409"/>
      <c r="CN147" s="413"/>
      <c r="CO147" s="104"/>
      <c r="CP147" s="104"/>
      <c r="CQ147" s="104"/>
      <c r="CR147" s="478"/>
      <c r="CS147" s="104"/>
      <c r="CT147" s="104"/>
      <c r="CU147" s="104"/>
      <c r="CV147" s="413"/>
      <c r="CW147" s="104"/>
      <c r="CX147" s="104"/>
      <c r="CY147" s="111"/>
      <c r="CZ147" s="413"/>
      <c r="DA147" s="104"/>
      <c r="DB147" s="104"/>
      <c r="DC147" s="111"/>
      <c r="DD147" s="413"/>
      <c r="DE147" s="104"/>
      <c r="DF147" s="104"/>
      <c r="DG147" s="111"/>
      <c r="DH147" s="413"/>
      <c r="DI147" s="104"/>
      <c r="DJ147" s="104"/>
      <c r="DK147" s="111"/>
      <c r="DL147" s="413"/>
      <c r="DM147" s="104"/>
      <c r="DN147" s="104"/>
      <c r="DO147" s="111"/>
      <c r="DP147" s="413"/>
      <c r="DQ147" s="104"/>
      <c r="DR147" s="104"/>
      <c r="DS147" s="111"/>
      <c r="DT147" s="156"/>
      <c r="DU147" s="156"/>
      <c r="DV147" s="156"/>
      <c r="DW147" s="156"/>
      <c r="DX147" s="156"/>
      <c r="DY147" s="156"/>
      <c r="DZ147" s="156"/>
      <c r="EA147" s="156"/>
      <c r="EB147" s="156"/>
      <c r="EC147" s="156"/>
      <c r="ED147" s="156"/>
      <c r="EE147" s="156"/>
      <c r="EF147" s="156"/>
      <c r="EG147" s="156"/>
      <c r="EH147" s="156"/>
      <c r="EI147" s="156"/>
      <c r="EJ147" s="127"/>
      <c r="EK147" s="156"/>
      <c r="EL147" s="156"/>
      <c r="EM147" s="156"/>
      <c r="EN147" s="156"/>
      <c r="EO147" s="156"/>
      <c r="EP147" s="156"/>
      <c r="EQ147" s="156"/>
      <c r="ER147" s="156"/>
      <c r="ES147" s="156"/>
      <c r="ET147" s="156"/>
      <c r="EU147" s="156"/>
      <c r="EV147" s="156"/>
      <c r="EW147" s="156"/>
      <c r="EX147" s="156"/>
      <c r="EY147" s="156"/>
      <c r="EZ147" s="156"/>
      <c r="FA147" s="156"/>
      <c r="FB147" s="156"/>
      <c r="FC147" s="156"/>
      <c r="FD147" s="156"/>
      <c r="FE147" s="156"/>
      <c r="FF147" s="156"/>
      <c r="FG147" s="156"/>
      <c r="FH147" s="156"/>
      <c r="FI147" s="156"/>
      <c r="FJ147" s="156"/>
      <c r="FK147" s="156"/>
      <c r="FL147" s="156"/>
      <c r="FM147" s="156"/>
    </row>
    <row r="148" spans="1:140" ht="15.75">
      <c r="A148" s="116" t="s">
        <v>128</v>
      </c>
      <c r="B148" s="117" t="s">
        <v>76</v>
      </c>
      <c r="C148" s="118">
        <v>30.34804</v>
      </c>
      <c r="D148" s="118">
        <v>29.548959999999997</v>
      </c>
      <c r="E148" s="118">
        <v>31.43363</v>
      </c>
      <c r="F148" s="119">
        <v>34.81348</v>
      </c>
      <c r="G148" s="120">
        <v>32</v>
      </c>
      <c r="H148" s="118">
        <v>29.4</v>
      </c>
      <c r="I148" s="118">
        <v>32.099999999999994</v>
      </c>
      <c r="J148" s="119">
        <f>Annually!H156-SUM(G148:I148)</f>
        <v>38.80000000000001</v>
      </c>
      <c r="K148" s="259">
        <f>17.20989+17.042</f>
        <v>34.25189</v>
      </c>
      <c r="L148" s="252">
        <v>34.289829999999995</v>
      </c>
      <c r="M148" s="252">
        <v>39.54221000000001</v>
      </c>
      <c r="N148" s="267">
        <f>Annually!I156-Quarterly!M148-L148-K148</f>
        <v>36.24379499999998</v>
      </c>
      <c r="O148" s="259">
        <v>32.496359999999996</v>
      </c>
      <c r="P148" s="251">
        <f>71-O148</f>
        <v>38.503640000000004</v>
      </c>
      <c r="Q148" s="251">
        <v>35.3</v>
      </c>
      <c r="R148" s="266">
        <f>-Q148-P148-O148+Annually!J156</f>
        <v>32.82221</v>
      </c>
      <c r="S148" s="259">
        <v>34.1</v>
      </c>
      <c r="T148" s="252">
        <v>33.26488</v>
      </c>
      <c r="U148" s="252">
        <v>33.81868000000001</v>
      </c>
      <c r="V148" s="252">
        <v>29.27861999999999</v>
      </c>
      <c r="W148" s="259">
        <v>30.38163</v>
      </c>
      <c r="X148" s="252">
        <v>34.32155</v>
      </c>
      <c r="Y148" s="252">
        <v>41.29682</v>
      </c>
      <c r="Z148" s="252">
        <f>Annually!L156-Y148-X148-W148</f>
        <v>37.69999999999999</v>
      </c>
      <c r="AA148" s="259">
        <v>47.408209</v>
      </c>
      <c r="AB148" s="252">
        <v>43.756598999999994</v>
      </c>
      <c r="AC148" s="252">
        <v>37.357099000000005</v>
      </c>
      <c r="AD148" s="252">
        <f>Annually!M156-AC148-AB148-AA148</f>
        <v>39.67457400000001</v>
      </c>
      <c r="AE148" s="259">
        <v>31.885852</v>
      </c>
      <c r="AF148" s="252">
        <v>34.527902</v>
      </c>
      <c r="AG148" s="257">
        <v>38.80863600000001</v>
      </c>
      <c r="AH148" s="252">
        <f>Annually!N156-AG148-AF148-AE148</f>
        <v>38.238960000000006</v>
      </c>
      <c r="AI148" s="275">
        <v>40.753737</v>
      </c>
      <c r="AJ148" s="252">
        <v>37.446263</v>
      </c>
      <c r="AK148" s="252">
        <v>42.480542</v>
      </c>
      <c r="AL148" s="252">
        <f>Annually!O156-AK148-AJ148-AI148</f>
        <v>41.81793400000001</v>
      </c>
      <c r="AM148" s="275">
        <v>41.681115</v>
      </c>
      <c r="AN148" s="252">
        <v>43.56792000000001</v>
      </c>
      <c r="AO148" s="252">
        <v>47.122335</v>
      </c>
      <c r="AP148" s="252">
        <f>Annually!P156-AM148-AN148-AO148</f>
        <v>42.02885499999996</v>
      </c>
      <c r="AQ148" s="275">
        <v>45.005285</v>
      </c>
      <c r="AR148" s="252">
        <v>42.149010000000004</v>
      </c>
      <c r="AS148" s="252">
        <v>44.956765000000004</v>
      </c>
      <c r="AT148" s="252">
        <f>Annually!Q156-AQ148-AR148-AS148</f>
        <v>40.873839000000004</v>
      </c>
      <c r="AU148" s="275">
        <v>39.743739</v>
      </c>
      <c r="AV148" s="252">
        <v>27.538355000000017</v>
      </c>
      <c r="AW148" s="252">
        <v>42.73349999999997</v>
      </c>
      <c r="AX148" s="267">
        <f>Annually!R156-AU148-AV148-AW148</f>
        <v>40.76624</v>
      </c>
      <c r="AY148" s="259">
        <v>42.146029999999996</v>
      </c>
      <c r="AZ148" s="252">
        <v>44.02812</v>
      </c>
      <c r="BA148" s="252">
        <v>45.61567</v>
      </c>
      <c r="BB148" s="267">
        <f>Annually!S156-AY148-AZ148-BA148</f>
        <v>37.697570000000006</v>
      </c>
      <c r="BC148" s="259">
        <v>38.49556</v>
      </c>
      <c r="BD148" s="252">
        <v>36.78836999999999</v>
      </c>
      <c r="BE148" s="252">
        <v>27.442240000000012</v>
      </c>
      <c r="BF148" s="267">
        <f>Annually!T156-BC148-BD148-BE148</f>
        <v>30.700260000000007</v>
      </c>
      <c r="BG148" s="259">
        <v>31.15329</v>
      </c>
      <c r="BH148" s="252">
        <v>32.35652</v>
      </c>
      <c r="BI148" s="252">
        <v>37.00752</v>
      </c>
      <c r="BJ148" s="267">
        <f>Annually!U156-BG148-BH148-BI148</f>
        <v>34.552470000000014</v>
      </c>
      <c r="BK148" s="523"/>
      <c r="BL148" s="158">
        <v>2.14062</v>
      </c>
      <c r="BM148" s="158">
        <v>1.3990099999999996</v>
      </c>
      <c r="BN148" s="158">
        <v>2.9424799999999998</v>
      </c>
      <c r="BO148" s="159">
        <v>3.171640000000001</v>
      </c>
      <c r="BP148" s="160">
        <v>2.9</v>
      </c>
      <c r="BQ148" s="161">
        <v>3.299375</v>
      </c>
      <c r="BR148" s="161">
        <v>4.000624999999999</v>
      </c>
      <c r="BS148" s="162">
        <f>Annually!AC156-SUM(Quarterly!BP148:BR148)</f>
        <v>3.3000000000000007</v>
      </c>
      <c r="BT148" s="163">
        <v>2.90117</v>
      </c>
      <c r="BU148" s="164">
        <v>2.53335</v>
      </c>
      <c r="BV148" s="164">
        <v>2.46548</v>
      </c>
      <c r="BW148" s="165">
        <f>Annually!AD156-Quarterly!BV148-Quarterly!BU148-Quarterly!BT148</f>
        <v>2.334</v>
      </c>
      <c r="BX148" s="163">
        <v>2.2</v>
      </c>
      <c r="BY148" s="164">
        <f>4.8806-BX148</f>
        <v>2.6806</v>
      </c>
      <c r="BZ148" s="164">
        <v>2.3194</v>
      </c>
      <c r="CA148" s="166">
        <f>-BZ148-BY148-BX148+Annually!AE156</f>
        <v>2.2262700000000004</v>
      </c>
      <c r="CB148" s="263">
        <v>2.7</v>
      </c>
      <c r="CC148" s="121">
        <v>2.3999999999999995</v>
      </c>
      <c r="CD148" s="121">
        <v>1.6623400000000004</v>
      </c>
      <c r="CE148" s="121">
        <v>1.3101000000000003</v>
      </c>
      <c r="CF148" s="263">
        <v>0.93163</v>
      </c>
      <c r="CG148" s="121">
        <v>3.3725499999999995</v>
      </c>
      <c r="CH148" s="121">
        <v>3.49582</v>
      </c>
      <c r="CI148" s="121">
        <f>Annually!AG156-CH148-CG148-CF148</f>
        <v>1.1000000000000008</v>
      </c>
      <c r="CJ148" s="263">
        <v>5.9477</v>
      </c>
      <c r="CK148" s="121">
        <v>6.1499279999999965</v>
      </c>
      <c r="CL148" s="121">
        <v>2.7910590000000015</v>
      </c>
      <c r="CM148" s="410">
        <f>Annually!AH156-CL148-CK148-CJ148</f>
        <v>4.809793999999987</v>
      </c>
      <c r="CN148" s="414">
        <v>3.076972</v>
      </c>
      <c r="CO148" s="121">
        <v>3.704722</v>
      </c>
      <c r="CP148" s="121">
        <v>3.978194</v>
      </c>
      <c r="CQ148" s="121">
        <f>Annually!AI156-CP148-CO148-CN148</f>
        <v>5.503062</v>
      </c>
      <c r="CR148" s="479">
        <v>5.596237</v>
      </c>
      <c r="CS148" s="121">
        <v>5.7016469999999995</v>
      </c>
      <c r="CT148" s="121">
        <v>6.863961999999997</v>
      </c>
      <c r="CU148" s="121">
        <f>Annually!AJ156-CT148-CS148-CR148</f>
        <v>6.210752000000003</v>
      </c>
      <c r="CV148" s="414">
        <v>6.079613</v>
      </c>
      <c r="CW148" s="121">
        <v>6.562395</v>
      </c>
      <c r="CX148" s="121">
        <v>6.28894</v>
      </c>
      <c r="CY148" s="121">
        <f>Annually!AK156-CV148-CW148-CX148</f>
        <v>5.370555000000001</v>
      </c>
      <c r="CZ148" s="414">
        <v>4.7777650000000005</v>
      </c>
      <c r="DA148" s="121">
        <v>3.7135300000000004</v>
      </c>
      <c r="DB148" s="121">
        <v>3.9112620000000007</v>
      </c>
      <c r="DC148" s="121">
        <f>Annually!AL156-CZ148-DA148-DB148</f>
        <v>5.1752619999999965</v>
      </c>
      <c r="DD148" s="414">
        <v>5.499119</v>
      </c>
      <c r="DE148" s="121">
        <v>4.313525</v>
      </c>
      <c r="DF148" s="121">
        <v>4.356720000000001</v>
      </c>
      <c r="DG148" s="121">
        <f>Annually!AM156-DD148-DE148-DF148</f>
        <v>5.350019999999997</v>
      </c>
      <c r="DH148" s="414">
        <v>4.66916</v>
      </c>
      <c r="DI148" s="121">
        <v>5.46392</v>
      </c>
      <c r="DJ148" s="121">
        <v>5.32347</v>
      </c>
      <c r="DK148" s="121">
        <f>Annually!AN156-DH148-DI148-DJ148</f>
        <v>4.736170000000001</v>
      </c>
      <c r="DL148" s="414">
        <v>5.519460000000001</v>
      </c>
      <c r="DM148" s="121">
        <v>3.8630699999999996</v>
      </c>
      <c r="DN148" s="121">
        <v>3.26724</v>
      </c>
      <c r="DO148" s="121">
        <f>Annually!AO156-DL148-DM148-DN148</f>
        <v>4.775259999999997</v>
      </c>
      <c r="DP148" s="414">
        <v>4.04429</v>
      </c>
      <c r="DQ148" s="121">
        <v>3.84852</v>
      </c>
      <c r="DR148" s="121">
        <v>3.5657200000000002</v>
      </c>
      <c r="DS148" s="121">
        <f>Annually!AP156-DP148-DQ148-DR148</f>
        <v>3.945270000000001</v>
      </c>
      <c r="EJ148" s="63"/>
    </row>
    <row r="149" spans="1:169" s="129" customFormat="1" ht="15">
      <c r="A149" s="100" t="s">
        <v>104</v>
      </c>
      <c r="B149" s="100" t="s">
        <v>93</v>
      </c>
      <c r="C149" s="101">
        <v>28.333</v>
      </c>
      <c r="D149" s="101">
        <v>27.857</v>
      </c>
      <c r="E149" s="101">
        <v>28.531000000000006</v>
      </c>
      <c r="F149" s="102">
        <v>32.019999999999996</v>
      </c>
      <c r="G149" s="103">
        <v>28.9</v>
      </c>
      <c r="H149" s="101">
        <v>26.232000000000006</v>
      </c>
      <c r="I149" s="101">
        <v>27.96799999999999</v>
      </c>
      <c r="J149" s="102">
        <f>Annually!H157-SUM(G149:I149)</f>
        <v>35.60000000000001</v>
      </c>
      <c r="K149" s="256">
        <f>14.311+17.042</f>
        <v>31.353</v>
      </c>
      <c r="L149" s="257">
        <v>31.585</v>
      </c>
      <c r="M149" s="257">
        <v>36.60199999999998</v>
      </c>
      <c r="N149" s="268">
        <f>Annually!I157-Quarterly!M149-L149-K149</f>
        <v>34.512000000000036</v>
      </c>
      <c r="O149" s="256">
        <v>30.286</v>
      </c>
      <c r="P149" s="250">
        <f>66.072-O149</f>
        <v>35.786</v>
      </c>
      <c r="Q149" s="250">
        <v>27.51899999999999</v>
      </c>
      <c r="R149" s="264">
        <f>-Q149-P149-O149+Annually!J157</f>
        <v>36.063</v>
      </c>
      <c r="S149" s="256">
        <v>31.4</v>
      </c>
      <c r="T149" s="257">
        <v>30.977000000000004</v>
      </c>
      <c r="U149" s="257">
        <v>32.13</v>
      </c>
      <c r="V149" s="257">
        <v>13.298999999999992</v>
      </c>
      <c r="W149" s="256">
        <v>29.408</v>
      </c>
      <c r="X149" s="257">
        <v>31.033</v>
      </c>
      <c r="Y149" s="257">
        <v>37.759</v>
      </c>
      <c r="Z149" s="257">
        <f>Annually!L157-Y149-X149-W149</f>
        <v>36.7</v>
      </c>
      <c r="AA149" s="256">
        <v>41.316</v>
      </c>
      <c r="AB149" s="257">
        <v>37.327</v>
      </c>
      <c r="AC149" s="257">
        <v>34.905</v>
      </c>
      <c r="AD149" s="257">
        <f>Annually!M157-AC149-AB149-AA149</f>
        <v>34.94999999999999</v>
      </c>
      <c r="AE149" s="256">
        <v>28.756999999999998</v>
      </c>
      <c r="AF149" s="257">
        <v>30.791000000000004</v>
      </c>
      <c r="AG149" s="257">
        <v>34.751999999999995</v>
      </c>
      <c r="AH149" s="257">
        <f>Annually!N157-AG149-AF149-AE149</f>
        <v>32.691</v>
      </c>
      <c r="AI149" s="465">
        <v>35.262</v>
      </c>
      <c r="AJ149" s="257">
        <v>31.843999999999994</v>
      </c>
      <c r="AK149" s="257">
        <v>35.403000000000006</v>
      </c>
      <c r="AL149" s="257">
        <f>Annually!O157-AK149-AJ149-AI149</f>
        <v>35.007999999999996</v>
      </c>
      <c r="AM149" s="465">
        <v>36.31</v>
      </c>
      <c r="AN149" s="257">
        <v>37.062</v>
      </c>
      <c r="AO149" s="257">
        <v>40.620000000000005</v>
      </c>
      <c r="AP149" s="257">
        <f>Annually!P157-AM149-AN149-AO149</f>
        <v>36.759</v>
      </c>
      <c r="AQ149" s="465">
        <v>40.228</v>
      </c>
      <c r="AR149" s="257">
        <v>38.599</v>
      </c>
      <c r="AS149" s="257">
        <v>40.7455</v>
      </c>
      <c r="AT149" s="257">
        <f>Annually!Q157-AQ149-AR149-AS149</f>
        <v>35.59499999999999</v>
      </c>
      <c r="AU149" s="465">
        <v>34.594</v>
      </c>
      <c r="AV149" s="257">
        <v>23.1173</v>
      </c>
      <c r="AW149" s="257">
        <v>38.269</v>
      </c>
      <c r="AX149" s="268">
        <f>Annually!R157-AU149-AV149-AW149</f>
        <v>35.088</v>
      </c>
      <c r="AY149" s="256">
        <v>38.02</v>
      </c>
      <c r="AZ149" s="257">
        <v>38.619</v>
      </c>
      <c r="BA149" s="257">
        <v>40.039</v>
      </c>
      <c r="BB149" s="268">
        <f>Annually!S157-AY149-AZ149-BA149</f>
        <v>32.88399999999997</v>
      </c>
      <c r="BC149" s="256">
        <v>33.253</v>
      </c>
      <c r="BD149" s="257">
        <v>32.979</v>
      </c>
      <c r="BE149" s="257">
        <v>24.174999999999997</v>
      </c>
      <c r="BF149" s="268">
        <f>Annually!T157-BC149-BD149-BE149</f>
        <v>25.924999999999997</v>
      </c>
      <c r="BG149" s="256">
        <v>27.109</v>
      </c>
      <c r="BH149" s="257">
        <v>28.507999999999996</v>
      </c>
      <c r="BI149" s="257">
        <v>33.38699999999999</v>
      </c>
      <c r="BJ149" s="268">
        <f>Annually!U157-BG149-BH149-BI149</f>
        <v>30.281</v>
      </c>
      <c r="BK149" s="535"/>
      <c r="BL149" s="145"/>
      <c r="BM149" s="145"/>
      <c r="BN149" s="145"/>
      <c r="BO149" s="146"/>
      <c r="BP149" s="147"/>
      <c r="BQ149" s="148"/>
      <c r="BR149" s="148"/>
      <c r="BS149" s="149"/>
      <c r="BT149" s="150"/>
      <c r="BU149" s="151"/>
      <c r="BV149" s="151"/>
      <c r="BW149" s="152"/>
      <c r="BX149" s="153"/>
      <c r="BY149" s="154"/>
      <c r="BZ149" s="154"/>
      <c r="CA149" s="155"/>
      <c r="CB149" s="262"/>
      <c r="CC149" s="104"/>
      <c r="CD149" s="104"/>
      <c r="CE149" s="104"/>
      <c r="CF149" s="262"/>
      <c r="CG149" s="104"/>
      <c r="CH149" s="104"/>
      <c r="CI149" s="104"/>
      <c r="CJ149" s="262"/>
      <c r="CK149" s="104"/>
      <c r="CL149" s="104"/>
      <c r="CM149" s="409"/>
      <c r="CN149" s="413"/>
      <c r="CO149" s="104"/>
      <c r="CP149" s="104"/>
      <c r="CQ149" s="104"/>
      <c r="CR149" s="478"/>
      <c r="CS149" s="104"/>
      <c r="CT149" s="104"/>
      <c r="CU149" s="104"/>
      <c r="CV149" s="413"/>
      <c r="CW149" s="104"/>
      <c r="CX149" s="104"/>
      <c r="CY149" s="111"/>
      <c r="CZ149" s="413"/>
      <c r="DA149" s="104"/>
      <c r="DB149" s="104"/>
      <c r="DC149" s="111"/>
      <c r="DD149" s="413"/>
      <c r="DE149" s="104"/>
      <c r="DF149" s="104"/>
      <c r="DG149" s="111"/>
      <c r="DH149" s="413"/>
      <c r="DI149" s="104"/>
      <c r="DJ149" s="104"/>
      <c r="DK149" s="111"/>
      <c r="DL149" s="413"/>
      <c r="DM149" s="104"/>
      <c r="DN149" s="104"/>
      <c r="DO149" s="111"/>
      <c r="DP149" s="413"/>
      <c r="DQ149" s="104"/>
      <c r="DR149" s="104"/>
      <c r="DS149" s="111"/>
      <c r="DT149" s="156"/>
      <c r="DU149" s="156"/>
      <c r="DV149" s="156"/>
      <c r="DW149" s="156"/>
      <c r="DX149" s="156"/>
      <c r="DY149" s="156"/>
      <c r="DZ149" s="156"/>
      <c r="EA149" s="156"/>
      <c r="EB149" s="156"/>
      <c r="EC149" s="156"/>
      <c r="ED149" s="156"/>
      <c r="EE149" s="156"/>
      <c r="EF149" s="156"/>
      <c r="EG149" s="156"/>
      <c r="EH149" s="156"/>
      <c r="EI149" s="156"/>
      <c r="EJ149" s="127"/>
      <c r="EK149" s="156"/>
      <c r="EL149" s="156"/>
      <c r="EM149" s="156"/>
      <c r="EN149" s="156"/>
      <c r="EO149" s="156"/>
      <c r="EP149" s="156"/>
      <c r="EQ149" s="156"/>
      <c r="ER149" s="156"/>
      <c r="ES149" s="156"/>
      <c r="ET149" s="156"/>
      <c r="EU149" s="156"/>
      <c r="EV149" s="156"/>
      <c r="EW149" s="156"/>
      <c r="EX149" s="156"/>
      <c r="EY149" s="156"/>
      <c r="EZ149" s="156"/>
      <c r="FA149" s="156"/>
      <c r="FB149" s="156"/>
      <c r="FC149" s="156"/>
      <c r="FD149" s="156"/>
      <c r="FE149" s="156"/>
      <c r="FF149" s="156"/>
      <c r="FG149" s="156"/>
      <c r="FH149" s="156"/>
      <c r="FI149" s="156"/>
      <c r="FJ149" s="156"/>
      <c r="FK149" s="156"/>
      <c r="FL149" s="156"/>
      <c r="FM149" s="156"/>
    </row>
    <row r="150" spans="1:140" ht="30" customHeight="1" hidden="1">
      <c r="A150" s="116" t="s">
        <v>132</v>
      </c>
      <c r="B150" s="117" t="s">
        <v>78</v>
      </c>
      <c r="C150" s="118">
        <v>0</v>
      </c>
      <c r="D150" s="118">
        <v>0</v>
      </c>
      <c r="E150" s="118">
        <v>0</v>
      </c>
      <c r="F150" s="119">
        <v>0</v>
      </c>
      <c r="G150" s="120"/>
      <c r="H150" s="118">
        <v>0</v>
      </c>
      <c r="I150" s="118">
        <v>0</v>
      </c>
      <c r="J150" s="119">
        <f>Annually!H158-SUM(G150:I150)</f>
        <v>0</v>
      </c>
      <c r="K150" s="259"/>
      <c r="L150" s="252">
        <v>0</v>
      </c>
      <c r="M150" s="252">
        <v>0</v>
      </c>
      <c r="N150" s="267">
        <f>Annually!I158-Quarterly!M150-L150-K150</f>
        <v>0</v>
      </c>
      <c r="O150" s="259"/>
      <c r="P150" s="251"/>
      <c r="Q150" s="252">
        <v>0</v>
      </c>
      <c r="R150" s="267">
        <f>-Q150-P150-O150+Annually!J158</f>
        <v>0</v>
      </c>
      <c r="S150" s="259"/>
      <c r="T150" s="252">
        <v>0</v>
      </c>
      <c r="U150" s="252">
        <v>0</v>
      </c>
      <c r="V150" s="252">
        <v>0</v>
      </c>
      <c r="W150" s="259"/>
      <c r="X150" s="252"/>
      <c r="Y150" s="252">
        <v>0</v>
      </c>
      <c r="Z150" s="252"/>
      <c r="AA150" s="259"/>
      <c r="AB150" s="252">
        <v>0</v>
      </c>
      <c r="AC150" s="252">
        <v>0</v>
      </c>
      <c r="AD150" s="252">
        <f>Annually!M158-AC150-AB150-AA150</f>
        <v>0</v>
      </c>
      <c r="AE150" s="259"/>
      <c r="AF150" s="252">
        <v>0</v>
      </c>
      <c r="AG150" s="252"/>
      <c r="AH150" s="252">
        <f>Annually!N158-AG150-AF150-AE150</f>
        <v>0</v>
      </c>
      <c r="AI150" s="275"/>
      <c r="AJ150" s="252"/>
      <c r="AK150" s="252"/>
      <c r="AL150" s="252"/>
      <c r="AM150" s="275"/>
      <c r="AN150" s="252"/>
      <c r="AO150" s="252">
        <v>0</v>
      </c>
      <c r="AP150" s="252">
        <f>Annually!P158-AM150-AN150-AO150</f>
        <v>0</v>
      </c>
      <c r="AQ150" s="275"/>
      <c r="AR150" s="252"/>
      <c r="AS150" s="252"/>
      <c r="AT150" s="252">
        <f>Annually!Q158-AQ150-AR150-AS150</f>
        <v>0</v>
      </c>
      <c r="AU150" s="275"/>
      <c r="AV150" s="252">
        <v>0</v>
      </c>
      <c r="AW150" s="252"/>
      <c r="AX150" s="267">
        <f>Annually!R158-AU150-AV150-AW150</f>
        <v>0</v>
      </c>
      <c r="AY150" s="259"/>
      <c r="AZ150" s="252"/>
      <c r="BA150" s="252"/>
      <c r="BB150" s="267"/>
      <c r="BC150" s="259"/>
      <c r="BD150" s="252">
        <v>0</v>
      </c>
      <c r="BE150" s="252"/>
      <c r="BF150" s="267"/>
      <c r="BG150" s="259"/>
      <c r="BH150" s="252">
        <v>0</v>
      </c>
      <c r="BI150" s="252">
        <v>0</v>
      </c>
      <c r="BJ150" s="267"/>
      <c r="BK150" s="523"/>
      <c r="BL150" s="158">
        <v>0</v>
      </c>
      <c r="BM150" s="158">
        <v>0</v>
      </c>
      <c r="BN150" s="158">
        <v>0</v>
      </c>
      <c r="BO150" s="159">
        <v>0</v>
      </c>
      <c r="BP150" s="160"/>
      <c r="BQ150" s="161">
        <v>0</v>
      </c>
      <c r="BR150" s="161">
        <v>0</v>
      </c>
      <c r="BS150" s="162">
        <f>Annually!AC158-SUM(Quarterly!BP150:BR150)</f>
        <v>0</v>
      </c>
      <c r="BT150" s="163"/>
      <c r="BU150" s="164">
        <v>0</v>
      </c>
      <c r="BV150" s="164">
        <v>0</v>
      </c>
      <c r="BW150" s="165">
        <f>Annually!AD158-Quarterly!BV150-Quarterly!BU150-Quarterly!BT150</f>
        <v>0</v>
      </c>
      <c r="BX150" s="163"/>
      <c r="BY150" s="164"/>
      <c r="BZ150" s="164"/>
      <c r="CA150" s="166"/>
      <c r="CB150" s="263"/>
      <c r="CC150" s="121"/>
      <c r="CD150" s="121"/>
      <c r="CE150" s="121">
        <v>0</v>
      </c>
      <c r="CF150" s="263"/>
      <c r="CG150" s="121"/>
      <c r="CH150" s="121"/>
      <c r="CI150" s="121"/>
      <c r="CJ150" s="263"/>
      <c r="CK150" s="121"/>
      <c r="CL150" s="121"/>
      <c r="CM150" s="410"/>
      <c r="CN150" s="414"/>
      <c r="CO150" s="121"/>
      <c r="CP150" s="121"/>
      <c r="CQ150" s="121"/>
      <c r="CR150" s="479"/>
      <c r="CS150" s="121">
        <v>0</v>
      </c>
      <c r="CT150" s="121"/>
      <c r="CU150" s="121"/>
      <c r="CV150" s="414"/>
      <c r="CW150" s="121">
        <v>0</v>
      </c>
      <c r="CX150" s="121">
        <v>0</v>
      </c>
      <c r="CY150" s="121"/>
      <c r="CZ150" s="414"/>
      <c r="DA150" s="121">
        <v>0</v>
      </c>
      <c r="DB150" s="121"/>
      <c r="DC150" s="121"/>
      <c r="DD150" s="414"/>
      <c r="DE150" s="121"/>
      <c r="DF150" s="121"/>
      <c r="DG150" s="121"/>
      <c r="DH150" s="414"/>
      <c r="DI150" s="121"/>
      <c r="DJ150" s="121"/>
      <c r="DK150" s="121"/>
      <c r="DL150" s="414"/>
      <c r="DM150" s="121"/>
      <c r="DN150" s="121"/>
      <c r="DO150" s="121"/>
      <c r="DP150" s="414"/>
      <c r="DQ150" s="121"/>
      <c r="DR150" s="121"/>
      <c r="DS150" s="121"/>
      <c r="EJ150" s="63"/>
    </row>
    <row r="151" spans="1:140" ht="6" customHeight="1" hidden="1">
      <c r="A151" s="100" t="s">
        <v>99</v>
      </c>
      <c r="B151" s="100" t="s">
        <v>93</v>
      </c>
      <c r="C151" s="118">
        <v>0</v>
      </c>
      <c r="D151" s="118">
        <v>0</v>
      </c>
      <c r="E151" s="118">
        <v>0</v>
      </c>
      <c r="F151" s="119">
        <v>0</v>
      </c>
      <c r="G151" s="120"/>
      <c r="H151" s="118">
        <v>0</v>
      </c>
      <c r="I151" s="118">
        <v>0</v>
      </c>
      <c r="J151" s="119">
        <f>Annually!H159-SUM(G151:I151)</f>
        <v>0</v>
      </c>
      <c r="K151" s="256"/>
      <c r="L151" s="257">
        <v>0</v>
      </c>
      <c r="M151" s="257">
        <v>0</v>
      </c>
      <c r="N151" s="267">
        <f>Annually!I159-Quarterly!M151-L151-K151</f>
        <v>0</v>
      </c>
      <c r="O151" s="259"/>
      <c r="P151" s="251"/>
      <c r="Q151" s="252">
        <v>0</v>
      </c>
      <c r="R151" s="267">
        <f>-Q151-P151-O151+Annually!J159</f>
        <v>0</v>
      </c>
      <c r="S151" s="259"/>
      <c r="T151" s="252">
        <v>0</v>
      </c>
      <c r="U151" s="252">
        <v>0</v>
      </c>
      <c r="V151" s="252">
        <v>0</v>
      </c>
      <c r="W151" s="259"/>
      <c r="X151" s="252"/>
      <c r="Y151" s="252">
        <v>0</v>
      </c>
      <c r="Z151" s="252"/>
      <c r="AA151" s="259"/>
      <c r="AB151" s="252">
        <v>0</v>
      </c>
      <c r="AC151" s="252">
        <v>0</v>
      </c>
      <c r="AD151" s="252">
        <f>Annually!M159-AC151-AB151-AA151</f>
        <v>0</v>
      </c>
      <c r="AE151" s="259"/>
      <c r="AF151" s="252">
        <v>0</v>
      </c>
      <c r="AG151" s="252"/>
      <c r="AH151" s="252">
        <f>Annually!N159-AG151-AF151-AE151</f>
        <v>0</v>
      </c>
      <c r="AI151" s="275"/>
      <c r="AJ151" s="252">
        <v>0</v>
      </c>
      <c r="AK151" s="252"/>
      <c r="AL151" s="252">
        <f>Annually!O159-AK151-AJ151-AI151</f>
        <v>0</v>
      </c>
      <c r="AM151" s="275"/>
      <c r="AN151" s="252"/>
      <c r="AO151" s="252">
        <v>0</v>
      </c>
      <c r="AP151" s="252">
        <f>Annually!P159-AM151-AN151-AO151</f>
        <v>0</v>
      </c>
      <c r="AQ151" s="275"/>
      <c r="AR151" s="252"/>
      <c r="AS151" s="252"/>
      <c r="AT151" s="252">
        <f>Annually!Q159-AQ151-AR151-AS151</f>
        <v>0</v>
      </c>
      <c r="AU151" s="275"/>
      <c r="AV151" s="252">
        <v>0</v>
      </c>
      <c r="AW151" s="252"/>
      <c r="AX151" s="267">
        <f>Annually!R159-AU151-AV151-AW151</f>
        <v>0</v>
      </c>
      <c r="AY151" s="259"/>
      <c r="AZ151" s="252"/>
      <c r="BA151" s="252"/>
      <c r="BB151" s="267"/>
      <c r="BC151" s="259"/>
      <c r="BD151" s="252">
        <v>0</v>
      </c>
      <c r="BE151" s="252"/>
      <c r="BF151" s="267"/>
      <c r="BG151" s="259"/>
      <c r="BH151" s="252">
        <v>0</v>
      </c>
      <c r="BI151" s="252">
        <v>0</v>
      </c>
      <c r="BJ151" s="267"/>
      <c r="BK151" s="523"/>
      <c r="BL151" s="158">
        <v>0</v>
      </c>
      <c r="BM151" s="158">
        <v>0</v>
      </c>
      <c r="BN151" s="158">
        <v>0</v>
      </c>
      <c r="BO151" s="159">
        <v>0</v>
      </c>
      <c r="BP151" s="160"/>
      <c r="BQ151" s="161">
        <v>0</v>
      </c>
      <c r="BR151" s="161">
        <v>0</v>
      </c>
      <c r="BS151" s="162">
        <f>Annually!AC159-SUM(Quarterly!BP151:BR151)</f>
        <v>0</v>
      </c>
      <c r="BT151" s="163"/>
      <c r="BU151" s="164">
        <v>0</v>
      </c>
      <c r="BV151" s="164">
        <v>0</v>
      </c>
      <c r="BW151" s="165">
        <f>Annually!AD159-Quarterly!BV151-Quarterly!BU151-Quarterly!BT151</f>
        <v>0</v>
      </c>
      <c r="BX151" s="163"/>
      <c r="BY151" s="164"/>
      <c r="BZ151" s="164"/>
      <c r="CA151" s="166"/>
      <c r="CB151" s="263"/>
      <c r="CC151" s="121"/>
      <c r="CD151" s="121"/>
      <c r="CE151" s="121">
        <v>0</v>
      </c>
      <c r="CF151" s="263"/>
      <c r="CG151" s="121"/>
      <c r="CH151" s="121"/>
      <c r="CI151" s="121"/>
      <c r="CJ151" s="263"/>
      <c r="CK151" s="121"/>
      <c r="CL151" s="121"/>
      <c r="CM151" s="410"/>
      <c r="CN151" s="414"/>
      <c r="CO151" s="121"/>
      <c r="CP151" s="121"/>
      <c r="CQ151" s="121"/>
      <c r="CR151" s="479"/>
      <c r="CS151" s="121">
        <v>0</v>
      </c>
      <c r="CT151" s="121"/>
      <c r="CU151" s="121"/>
      <c r="CV151" s="414"/>
      <c r="CW151" s="121">
        <v>0</v>
      </c>
      <c r="CX151" s="121">
        <v>0</v>
      </c>
      <c r="CY151" s="121"/>
      <c r="CZ151" s="414"/>
      <c r="DA151" s="121">
        <v>0</v>
      </c>
      <c r="DB151" s="121"/>
      <c r="DC151" s="121"/>
      <c r="DD151" s="414"/>
      <c r="DE151" s="121"/>
      <c r="DF151" s="121"/>
      <c r="DG151" s="121"/>
      <c r="DH151" s="414"/>
      <c r="DI151" s="121"/>
      <c r="DJ151" s="121"/>
      <c r="DK151" s="121"/>
      <c r="DL151" s="414"/>
      <c r="DM151" s="121"/>
      <c r="DN151" s="121"/>
      <c r="DO151" s="121"/>
      <c r="DP151" s="414"/>
      <c r="DQ151" s="121"/>
      <c r="DR151" s="121"/>
      <c r="DS151" s="121"/>
      <c r="EJ151" s="63"/>
    </row>
    <row r="152" spans="1:140" ht="15.75">
      <c r="A152" s="116" t="s">
        <v>132</v>
      </c>
      <c r="B152" s="116" t="s">
        <v>129</v>
      </c>
      <c r="C152" s="118">
        <v>36.532554</v>
      </c>
      <c r="D152" s="118">
        <v>35.83844600000001</v>
      </c>
      <c r="E152" s="118">
        <v>37.50084299999999</v>
      </c>
      <c r="F152" s="119">
        <v>42.61399899999999</v>
      </c>
      <c r="G152" s="120">
        <v>38.9</v>
      </c>
      <c r="H152" s="118">
        <v>34.698308000000004</v>
      </c>
      <c r="I152" s="118">
        <v>35.10169199999999</v>
      </c>
      <c r="J152" s="119">
        <f>Annually!H160-SUM(G152:I152)</f>
        <v>48.30000000000001</v>
      </c>
      <c r="K152" s="259">
        <v>41.6</v>
      </c>
      <c r="L152" s="252">
        <v>40.800000000000004</v>
      </c>
      <c r="M152" s="252">
        <v>47.80253000000001</v>
      </c>
      <c r="N152" s="267">
        <f>Annually!I160-Quarterly!M152-L152-K152</f>
        <v>46.29746999999997</v>
      </c>
      <c r="O152" s="259">
        <v>39.39963</v>
      </c>
      <c r="P152" s="251">
        <f>85.495925-O152</f>
        <v>46.096295</v>
      </c>
      <c r="Q152" s="251">
        <v>44.03298100000001</v>
      </c>
      <c r="R152" s="266">
        <f>-Q152-P152-O152+Annually!J160</f>
        <v>40.65323000000001</v>
      </c>
      <c r="S152" s="259">
        <v>42.6</v>
      </c>
      <c r="T152" s="252">
        <v>41.516527</v>
      </c>
      <c r="U152" s="252">
        <v>42.29849999999998</v>
      </c>
      <c r="V152" s="252">
        <v>37.71773000000002</v>
      </c>
      <c r="W152" s="259">
        <v>38.2</v>
      </c>
      <c r="X152" s="252">
        <v>40.81981499999999</v>
      </c>
      <c r="Y152" s="252">
        <v>49.680184999999994</v>
      </c>
      <c r="Z152" s="252">
        <f>Annually!L160-Y152-X152-W152</f>
        <v>45.70000000000002</v>
      </c>
      <c r="AA152" s="259">
        <v>51.989058</v>
      </c>
      <c r="AB152" s="252">
        <v>46.594699000000006</v>
      </c>
      <c r="AC152" s="252">
        <v>44.84799099999999</v>
      </c>
      <c r="AD152" s="252">
        <f>Annually!M160-AC152-AB152-AA152</f>
        <v>44.38267699999999</v>
      </c>
      <c r="AE152" s="259">
        <v>36.852281</v>
      </c>
      <c r="AF152" s="252">
        <v>38.838328</v>
      </c>
      <c r="AG152" s="257">
        <v>44.52866800000002</v>
      </c>
      <c r="AH152" s="252">
        <f>Annually!N160-AG152-AF152-AE152</f>
        <v>42.08890399999999</v>
      </c>
      <c r="AI152" s="275">
        <v>45.994707</v>
      </c>
      <c r="AJ152" s="252">
        <v>41.705293000000005</v>
      </c>
      <c r="AK152" s="252">
        <v>45.95767199999998</v>
      </c>
      <c r="AL152" s="252">
        <f>Annually!O160-AK152-AJ152-AI152</f>
        <v>46.93655300000001</v>
      </c>
      <c r="AM152" s="275">
        <v>46.915419</v>
      </c>
      <c r="AN152" s="252">
        <v>48.393187</v>
      </c>
      <c r="AO152" s="252">
        <v>51.236626</v>
      </c>
      <c r="AP152" s="252">
        <f>Annually!P160-AM152-AN152-AO152</f>
        <v>46.60974</v>
      </c>
      <c r="AQ152" s="275">
        <v>51.541833</v>
      </c>
      <c r="AR152" s="252">
        <v>52.034186000000005</v>
      </c>
      <c r="AS152" s="252">
        <v>56.07055300000002</v>
      </c>
      <c r="AT152" s="252">
        <f>Annually!Q160-AQ152-AR152-AS152</f>
        <v>46.54333799999998</v>
      </c>
      <c r="AU152" s="275">
        <v>45.04240500000002</v>
      </c>
      <c r="AV152" s="252">
        <v>30.374488999999983</v>
      </c>
      <c r="AW152" s="252">
        <v>51.1169</v>
      </c>
      <c r="AX152" s="267">
        <f>Annually!R160-AU152-AV152-AW152</f>
        <v>47.80281999999998</v>
      </c>
      <c r="AY152" s="259">
        <v>49.88485000000001</v>
      </c>
      <c r="AZ152" s="252">
        <v>51.30743999999999</v>
      </c>
      <c r="BA152" s="252">
        <v>53.15444</v>
      </c>
      <c r="BB152" s="267">
        <f>Annually!S160-AY152-AZ152-BA152</f>
        <v>44.839940000000034</v>
      </c>
      <c r="BC152" s="259">
        <v>45.1959</v>
      </c>
      <c r="BD152" s="252">
        <v>45.392360999999994</v>
      </c>
      <c r="BE152" s="252">
        <v>33.389264000000004</v>
      </c>
      <c r="BF152" s="267">
        <f>Annually!T160-BC152-BD152-BE152</f>
        <v>35.16322999999999</v>
      </c>
      <c r="BG152" s="259">
        <v>36.4727</v>
      </c>
      <c r="BH152" s="252">
        <v>39.20918800000001</v>
      </c>
      <c r="BI152" s="252">
        <v>45.127660000000006</v>
      </c>
      <c r="BJ152" s="267">
        <f>Annually!U160-BG152-BH152-BI152</f>
        <v>42.77356699999997</v>
      </c>
      <c r="BK152" s="523"/>
      <c r="BL152" s="158">
        <v>37.35117399999999</v>
      </c>
      <c r="BM152" s="158">
        <v>34.732203000000005</v>
      </c>
      <c r="BN152" s="158">
        <v>37.73134599999999</v>
      </c>
      <c r="BO152" s="159">
        <v>42.51259900000002</v>
      </c>
      <c r="BP152" s="160">
        <v>37.6</v>
      </c>
      <c r="BQ152" s="161">
        <v>35.609868</v>
      </c>
      <c r="BR152" s="161">
        <v>34.590132000000004</v>
      </c>
      <c r="BS152" s="162">
        <f>Annually!AC160-SUM(Quarterly!BP152:BR152)</f>
        <v>47.89999999999998</v>
      </c>
      <c r="BT152" s="163">
        <v>41.669708</v>
      </c>
      <c r="BU152" s="164">
        <v>41.312155000000004</v>
      </c>
      <c r="BV152" s="164">
        <v>46.81813700000001</v>
      </c>
      <c r="BW152" s="165">
        <f>Annually!AD160-Quarterly!BV152-Quarterly!BU152-Quarterly!BT152</f>
        <v>45.48799999999997</v>
      </c>
      <c r="BX152" s="163">
        <v>39.8</v>
      </c>
      <c r="BY152" s="164">
        <f>85.74983-BX152</f>
        <v>45.949830000000006</v>
      </c>
      <c r="BZ152" s="164">
        <v>43.950169999999986</v>
      </c>
      <c r="CA152" s="166">
        <f>-BZ152-BY152-BX152+Annually!AE160</f>
        <v>40.31759600000001</v>
      </c>
      <c r="CB152" s="263">
        <v>42.5</v>
      </c>
      <c r="CC152" s="121">
        <v>41.3</v>
      </c>
      <c r="CD152" s="121">
        <v>41.633787</v>
      </c>
      <c r="CE152" s="121">
        <v>38.12621300000001</v>
      </c>
      <c r="CF152" s="263">
        <v>38.16138</v>
      </c>
      <c r="CG152" s="121">
        <v>40.247925</v>
      </c>
      <c r="CH152" s="121">
        <v>49.190694999999984</v>
      </c>
      <c r="CI152" s="121">
        <f>Annually!AG160-CH152-CG152-CF152</f>
        <v>46.1</v>
      </c>
      <c r="CJ152" s="263">
        <v>51.715931</v>
      </c>
      <c r="CK152" s="121">
        <v>46.18492299999991</v>
      </c>
      <c r="CL152" s="121">
        <v>44.70377400000008</v>
      </c>
      <c r="CM152" s="410">
        <f>Annually!AH160-CL152-CK152-CJ152</f>
        <v>43.893095000000315</v>
      </c>
      <c r="CN152" s="414">
        <v>36.528686</v>
      </c>
      <c r="CO152" s="121">
        <v>38.671168</v>
      </c>
      <c r="CP152" s="121">
        <v>43.895124</v>
      </c>
      <c r="CQ152" s="121">
        <f>Annually!AI160-CP152-CO152-CN152</f>
        <v>41.737525</v>
      </c>
      <c r="CR152" s="479">
        <v>46.127750000000006</v>
      </c>
      <c r="CS152" s="121">
        <v>41.1913</v>
      </c>
      <c r="CT152" s="121">
        <v>45.37599499999999</v>
      </c>
      <c r="CU152" s="121">
        <f>Annually!AJ160-CT152-CS152-CR152</f>
        <v>46.26168100000001</v>
      </c>
      <c r="CV152" s="414">
        <v>47.129478999999996</v>
      </c>
      <c r="CW152" s="121">
        <v>47.69955700000002</v>
      </c>
      <c r="CX152" s="121">
        <v>50.23587599999997</v>
      </c>
      <c r="CY152" s="121">
        <f>Annually!AK160-CV152-CW152-CX152</f>
        <v>46.52993000000003</v>
      </c>
      <c r="CZ152" s="414">
        <v>50.866046999999995</v>
      </c>
      <c r="DA152" s="121">
        <v>52.337700999999996</v>
      </c>
      <c r="DB152" s="121">
        <v>55.176436999999964</v>
      </c>
      <c r="DC152" s="121">
        <f>Annually!AL160-CZ152-DA152-DB152</f>
        <v>45.812826000000015</v>
      </c>
      <c r="DD152" s="414">
        <v>45.47991</v>
      </c>
      <c r="DE152" s="121">
        <v>29.579995000000004</v>
      </c>
      <c r="DF152" s="121">
        <v>49.828769999999984</v>
      </c>
      <c r="DG152" s="121">
        <f>Annually!AM160-DD152-DE152-DF152</f>
        <v>46.51842000000003</v>
      </c>
      <c r="DH152" s="414">
        <v>48.34293</v>
      </c>
      <c r="DI152" s="121">
        <v>50.08504</v>
      </c>
      <c r="DJ152" s="121">
        <v>51.70674</v>
      </c>
      <c r="DK152" s="121">
        <f>Annually!AN160-DH152-DI152-DJ152</f>
        <v>42.70776000000003</v>
      </c>
      <c r="DL152" s="414">
        <v>43.1947</v>
      </c>
      <c r="DM152" s="121">
        <v>43.574861</v>
      </c>
      <c r="DN152" s="121">
        <v>31.343264000000005</v>
      </c>
      <c r="DO152" s="121">
        <f>Annually!AO160-DL152-DM152-DN152</f>
        <v>33.30623000000001</v>
      </c>
      <c r="DP152" s="414">
        <v>34.5279</v>
      </c>
      <c r="DQ152" s="121">
        <v>37.46398799999999</v>
      </c>
      <c r="DR152" s="121">
        <v>42.73829</v>
      </c>
      <c r="DS152" s="121">
        <f>Annually!AP160-DP152-DQ152-DR152</f>
        <v>39.37193700000001</v>
      </c>
      <c r="EJ152" s="63"/>
    </row>
    <row r="153" spans="1:169" s="129" customFormat="1" ht="15">
      <c r="A153" s="100" t="s">
        <v>104</v>
      </c>
      <c r="B153" s="100" t="s">
        <v>93</v>
      </c>
      <c r="C153" s="101">
        <v>0.2549</v>
      </c>
      <c r="D153" s="101">
        <v>0.25249999999999995</v>
      </c>
      <c r="E153" s="101">
        <v>0.1875</v>
      </c>
      <c r="F153" s="102">
        <v>0.18620000000000003</v>
      </c>
      <c r="G153" s="103">
        <v>0.1</v>
      </c>
      <c r="H153" s="101">
        <v>0.24789999999999998</v>
      </c>
      <c r="I153" s="101">
        <v>0.15209999999999999</v>
      </c>
      <c r="J153" s="102">
        <f>Annually!H162-SUM(G153:I153)</f>
        <v>530.1427812</v>
      </c>
      <c r="K153" s="256">
        <v>0.2</v>
      </c>
      <c r="L153" s="257">
        <v>0.2349</v>
      </c>
      <c r="M153" s="257">
        <v>0.20559999999999995</v>
      </c>
      <c r="N153" s="268">
        <f>Annually!I161-K153-L153-M153</f>
        <v>0.15950000000000014</v>
      </c>
      <c r="O153" s="465">
        <v>0.1638</v>
      </c>
      <c r="P153" s="257">
        <v>0</v>
      </c>
      <c r="Q153" s="250">
        <v>0.5362</v>
      </c>
      <c r="R153" s="264">
        <f>-Q153-P153-O153+Annually!J161</f>
        <v>0.2018000000000001</v>
      </c>
      <c r="S153" s="256">
        <v>0.2</v>
      </c>
      <c r="T153" s="257">
        <v>0.30460000000000004</v>
      </c>
      <c r="U153" s="257">
        <v>0.34049999999999997</v>
      </c>
      <c r="V153" s="257">
        <v>0.2359</v>
      </c>
      <c r="W153" s="256">
        <v>0.2236</v>
      </c>
      <c r="X153" s="257">
        <v>0.20720000000000002</v>
      </c>
      <c r="Y153" s="257">
        <v>0.2691999999999999</v>
      </c>
      <c r="Z153" s="257">
        <f>Annually!L161-Y153-X153-W153</f>
        <v>0.2000000000000001</v>
      </c>
      <c r="AA153" s="256">
        <v>0.2471</v>
      </c>
      <c r="AB153" s="257">
        <v>0.23300000000000004</v>
      </c>
      <c r="AC153" s="257">
        <v>0.2524</v>
      </c>
      <c r="AD153" s="257">
        <f>Annually!M161-AC153-AB153-AA153</f>
        <v>0.3015</v>
      </c>
      <c r="AE153" s="256">
        <v>0.2962</v>
      </c>
      <c r="AF153" s="257">
        <v>0.26059999999999994</v>
      </c>
      <c r="AG153" s="257">
        <v>0.27680000000000005</v>
      </c>
      <c r="AH153" s="257">
        <f>Annually!N161-AG153-AF153-AE153</f>
        <v>0.39560000000000006</v>
      </c>
      <c r="AI153" s="465">
        <v>0.3235</v>
      </c>
      <c r="AJ153" s="257">
        <v>0.4105</v>
      </c>
      <c r="AK153" s="257">
        <v>0.3126</v>
      </c>
      <c r="AL153" s="257">
        <f>Annually!O161-AK153-AJ153-AI153</f>
        <v>0.5678000000000001</v>
      </c>
      <c r="AM153" s="465">
        <v>0.3351</v>
      </c>
      <c r="AN153" s="257">
        <v>0.2454</v>
      </c>
      <c r="AO153" s="257">
        <v>0.22599999999999992</v>
      </c>
      <c r="AP153" s="257">
        <f>Annually!P161-AM153-AN153-AO153</f>
        <v>0.31550000000000017</v>
      </c>
      <c r="AQ153" s="465">
        <v>0.4204</v>
      </c>
      <c r="AR153" s="257">
        <v>0.3963</v>
      </c>
      <c r="AS153" s="257">
        <v>0.6704000000000002</v>
      </c>
      <c r="AT153" s="257">
        <f>Annually!Q161-AQ153-AR153-AS153</f>
        <v>0.5494</v>
      </c>
      <c r="AU153" s="465">
        <v>0.59</v>
      </c>
      <c r="AV153" s="257">
        <v>0.7640000000000001</v>
      </c>
      <c r="AW153" s="257">
        <v>0.9579999999999996</v>
      </c>
      <c r="AX153" s="268">
        <f>Annually!R161-AU153-AV153-AW153</f>
        <v>1.3010000000000002</v>
      </c>
      <c r="AY153" s="256">
        <v>1.287</v>
      </c>
      <c r="AZ153" s="257">
        <v>1.047</v>
      </c>
      <c r="BA153" s="257">
        <v>1.453</v>
      </c>
      <c r="BB153" s="268">
        <f>Annually!S161-AY153-AZ153-BA153</f>
        <v>1.8329999999999995</v>
      </c>
      <c r="BC153" s="256">
        <v>2.385</v>
      </c>
      <c r="BD153" s="257">
        <v>2.1445</v>
      </c>
      <c r="BE153" s="257">
        <v>1.9050000000000002</v>
      </c>
      <c r="BF153" s="268">
        <f>Annually!T161-BC153-BD153-BE153</f>
        <v>1.8529999999999998</v>
      </c>
      <c r="BG153" s="256">
        <v>1.9289999999999998</v>
      </c>
      <c r="BH153" s="257">
        <v>1.9120000000000004</v>
      </c>
      <c r="BI153" s="257">
        <v>2.048000000000001</v>
      </c>
      <c r="BJ153" s="268">
        <f>Annually!U161-BG153-BH153-BI153</f>
        <v>2.6039999999999983</v>
      </c>
      <c r="BK153" s="535"/>
      <c r="BL153" s="145">
        <v>0</v>
      </c>
      <c r="BM153" s="145">
        <v>0</v>
      </c>
      <c r="BN153" s="145">
        <v>0</v>
      </c>
      <c r="BO153" s="146">
        <v>0</v>
      </c>
      <c r="BP153" s="147"/>
      <c r="BQ153" s="148">
        <v>0</v>
      </c>
      <c r="BR153" s="148">
        <v>0</v>
      </c>
      <c r="BS153" s="149">
        <f>Annually!AC162-SUM(Quarterly!BP153:BR153)</f>
        <v>530.7</v>
      </c>
      <c r="BT153" s="150"/>
      <c r="BU153" s="151">
        <v>0</v>
      </c>
      <c r="BV153" s="151">
        <v>0</v>
      </c>
      <c r="BW153" s="396">
        <f>Annually!AD162-Quarterly!BV153-Quarterly!BU153-Quarterly!BT153</f>
        <v>580.9929999999999</v>
      </c>
      <c r="BX153" s="150"/>
      <c r="BY153" s="151"/>
      <c r="BZ153" s="151">
        <v>0</v>
      </c>
      <c r="CA153" s="397">
        <f>-BZ153-BY153-BX153+Annually!AE161</f>
        <v>0</v>
      </c>
      <c r="CB153" s="439"/>
      <c r="CC153" s="111"/>
      <c r="CD153" s="111"/>
      <c r="CE153" s="111">
        <v>0</v>
      </c>
      <c r="CF153" s="439"/>
      <c r="CG153" s="111"/>
      <c r="CH153" s="111"/>
      <c r="CI153" s="111"/>
      <c r="CJ153" s="439"/>
      <c r="CK153" s="111"/>
      <c r="CL153" s="111"/>
      <c r="CM153" s="440"/>
      <c r="CN153" s="441"/>
      <c r="CO153" s="111"/>
      <c r="CP153" s="111"/>
      <c r="CQ153" s="111"/>
      <c r="CR153" s="477"/>
      <c r="CS153" s="111"/>
      <c r="CT153" s="111"/>
      <c r="CU153" s="111"/>
      <c r="CV153" s="441"/>
      <c r="CW153" s="111"/>
      <c r="CX153" s="111"/>
      <c r="CY153" s="111"/>
      <c r="CZ153" s="441"/>
      <c r="DA153" s="111"/>
      <c r="DB153" s="111"/>
      <c r="DC153" s="111"/>
      <c r="DD153" s="441"/>
      <c r="DE153" s="111"/>
      <c r="DF153" s="111"/>
      <c r="DG153" s="111"/>
      <c r="DH153" s="441"/>
      <c r="DI153" s="111"/>
      <c r="DJ153" s="111"/>
      <c r="DK153" s="111"/>
      <c r="DL153" s="441"/>
      <c r="DM153" s="111"/>
      <c r="DN153" s="111"/>
      <c r="DO153" s="111"/>
      <c r="DP153" s="441"/>
      <c r="DQ153" s="111"/>
      <c r="DR153" s="111"/>
      <c r="DS153" s="111"/>
      <c r="DT153" s="156"/>
      <c r="DU153" s="156"/>
      <c r="DV153" s="156"/>
      <c r="DW153" s="156"/>
      <c r="DX153" s="156"/>
      <c r="DY153" s="156"/>
      <c r="DZ153" s="156"/>
      <c r="EA153" s="156"/>
      <c r="EB153" s="156"/>
      <c r="EC153" s="156"/>
      <c r="ED153" s="156"/>
      <c r="EE153" s="156"/>
      <c r="EF153" s="156"/>
      <c r="EG153" s="156"/>
      <c r="EH153" s="156"/>
      <c r="EI153" s="156"/>
      <c r="EJ153" s="127"/>
      <c r="EK153" s="156"/>
      <c r="EL153" s="156"/>
      <c r="EM153" s="156"/>
      <c r="EN153" s="156"/>
      <c r="EO153" s="156"/>
      <c r="EP153" s="156"/>
      <c r="EQ153" s="156"/>
      <c r="ER153" s="156"/>
      <c r="ES153" s="156"/>
      <c r="ET153" s="156"/>
      <c r="EU153" s="156"/>
      <c r="EV153" s="156"/>
      <c r="EW153" s="156"/>
      <c r="EX153" s="156"/>
      <c r="EY153" s="156"/>
      <c r="EZ153" s="156"/>
      <c r="FA153" s="156"/>
      <c r="FB153" s="156"/>
      <c r="FC153" s="156"/>
      <c r="FD153" s="156"/>
      <c r="FE153" s="156"/>
      <c r="FF153" s="156"/>
      <c r="FG153" s="156"/>
      <c r="FH153" s="156"/>
      <c r="FI153" s="156"/>
      <c r="FJ153" s="156"/>
      <c r="FK153" s="156"/>
      <c r="FL153" s="156"/>
      <c r="FM153" s="156"/>
    </row>
    <row r="154" spans="1:123" ht="30.75">
      <c r="A154" s="70" t="s">
        <v>127</v>
      </c>
      <c r="B154" s="70" t="s">
        <v>130</v>
      </c>
      <c r="C154" s="71">
        <v>128.18636610000001</v>
      </c>
      <c r="D154" s="71">
        <v>138.1913939</v>
      </c>
      <c r="E154" s="71">
        <v>126.71164089999996</v>
      </c>
      <c r="F154" s="72">
        <v>140.94728910000003</v>
      </c>
      <c r="G154" s="73">
        <v>140.7</v>
      </c>
      <c r="H154" s="71">
        <v>154.5557051</v>
      </c>
      <c r="I154" s="71">
        <v>135.64429489999998</v>
      </c>
      <c r="J154" s="72">
        <f>SUM(J156:J162)</f>
        <v>143.25708319999998</v>
      </c>
      <c r="K154" s="249">
        <f aca="true" t="shared" si="536" ref="K154:AD154">K156+K159+K160+K162+K164</f>
        <v>117.39999999999999</v>
      </c>
      <c r="L154" s="249">
        <f t="shared" si="536"/>
        <v>134.33912410000002</v>
      </c>
      <c r="M154" s="249">
        <f t="shared" si="536"/>
        <v>155.2534892</v>
      </c>
      <c r="N154" s="265">
        <f t="shared" si="536"/>
        <v>174.01772219999998</v>
      </c>
      <c r="O154" s="270">
        <f t="shared" si="536"/>
        <v>146.8921391</v>
      </c>
      <c r="P154" s="249">
        <f t="shared" si="536"/>
        <v>144.2372899</v>
      </c>
      <c r="Q154" s="249">
        <f t="shared" si="536"/>
        <v>130.839556</v>
      </c>
      <c r="R154" s="265">
        <f t="shared" si="536"/>
        <v>134.1112291</v>
      </c>
      <c r="S154" s="253">
        <f t="shared" si="536"/>
        <v>116.9</v>
      </c>
      <c r="T154" s="254">
        <f t="shared" si="536"/>
        <v>134.70000000000002</v>
      </c>
      <c r="U154" s="254">
        <f t="shared" si="536"/>
        <v>126.428701</v>
      </c>
      <c r="V154" s="254">
        <f t="shared" si="536"/>
        <v>122.84302909999998</v>
      </c>
      <c r="W154" s="253">
        <f t="shared" si="536"/>
        <v>143.9841489</v>
      </c>
      <c r="X154" s="254">
        <f t="shared" si="536"/>
        <v>143.7523041</v>
      </c>
      <c r="Y154" s="254">
        <f t="shared" si="536"/>
        <v>152.56354699999997</v>
      </c>
      <c r="Z154" s="254">
        <f t="shared" si="536"/>
        <v>178</v>
      </c>
      <c r="AA154" s="253">
        <f t="shared" si="536"/>
        <v>144.9986249</v>
      </c>
      <c r="AB154" s="254">
        <f t="shared" si="536"/>
        <v>175.61593599999986</v>
      </c>
      <c r="AC154" s="254">
        <f t="shared" si="536"/>
        <v>153.22748510000017</v>
      </c>
      <c r="AD154" s="254">
        <f t="shared" si="536"/>
        <v>190.9546412999961</v>
      </c>
      <c r="AE154" s="253">
        <f>AE156+AE157+AE159+AE160+AE162+AE164</f>
        <v>156.53382539999998</v>
      </c>
      <c r="AF154" s="254">
        <f>AF156+AF157+AF159+AF160+AF162+AF164</f>
        <v>165.9607232</v>
      </c>
      <c r="AG154" s="254">
        <f aca="true" t="shared" si="537" ref="AG154:AL154">AG156+AG157+AG159+AG160+AG162+AG164</f>
        <v>141.50392859999997</v>
      </c>
      <c r="AH154" s="254">
        <f t="shared" si="537"/>
        <v>160.29056360000007</v>
      </c>
      <c r="AI154" s="464">
        <f t="shared" si="537"/>
        <v>160.8853001</v>
      </c>
      <c r="AJ154" s="254">
        <f t="shared" si="537"/>
        <v>163.10739990000002</v>
      </c>
      <c r="AK154" s="254">
        <f t="shared" si="537"/>
        <v>150.92615710000004</v>
      </c>
      <c r="AL154" s="254">
        <f t="shared" si="537"/>
        <v>170.77239979999996</v>
      </c>
      <c r="AM154" s="464">
        <f aca="true" t="shared" si="538" ref="AM154:AV154">AM156+AM157+AM159+AM160+AM162+AM164</f>
        <v>170.7458117</v>
      </c>
      <c r="AN154" s="254">
        <f t="shared" si="538"/>
        <v>181.46666299999998</v>
      </c>
      <c r="AO154" s="254">
        <f t="shared" si="538"/>
        <v>178.55325410000003</v>
      </c>
      <c r="AP154" s="254">
        <f t="shared" si="538"/>
        <v>194.52370800000003</v>
      </c>
      <c r="AQ154" s="464">
        <f t="shared" si="538"/>
        <v>183.7392158</v>
      </c>
      <c r="AR154" s="254">
        <f t="shared" si="538"/>
        <v>170.92098289999998</v>
      </c>
      <c r="AS154" s="254">
        <f t="shared" si="538"/>
        <v>180.06021323999994</v>
      </c>
      <c r="AT154" s="254">
        <f>AT156+AT157+AT159+AT160+AT162+AT164</f>
        <v>220.76796500000003</v>
      </c>
      <c r="AU154" s="464">
        <f t="shared" si="538"/>
        <v>235.82783456</v>
      </c>
      <c r="AV154" s="254">
        <f t="shared" si="538"/>
        <v>208.41361617999996</v>
      </c>
      <c r="AW154" s="254">
        <f aca="true" t="shared" si="539" ref="AW154:BB154">AW156+AW157+AW159+AW160+AW162+AW164</f>
        <v>227.37316470000005</v>
      </c>
      <c r="AX154" s="269">
        <f t="shared" si="539"/>
        <v>228.54520202999996</v>
      </c>
      <c r="AY154" s="253">
        <f t="shared" si="539"/>
        <v>263.4295256186592</v>
      </c>
      <c r="AZ154" s="254">
        <f t="shared" si="539"/>
        <v>272.45560650999994</v>
      </c>
      <c r="BA154" s="254">
        <f t="shared" si="539"/>
        <v>274.5394413029888</v>
      </c>
      <c r="BB154" s="269">
        <f t="shared" si="539"/>
        <v>260.43755854752965</v>
      </c>
      <c r="BC154" s="253">
        <f>BC156+BC157+BC159+BC160+BC162+BC164</f>
        <v>209.7251196417216</v>
      </c>
      <c r="BD154" s="254">
        <f>BD156+BD157+BD159+BD160+BD162+BD164</f>
        <v>150.38949486531195</v>
      </c>
      <c r="BE154" s="254">
        <f aca="true" t="shared" si="540" ref="BE154:BJ154">BE156+BE157+BE158+BE159+BE160+BE162+BE164</f>
        <v>162.70954118580804</v>
      </c>
      <c r="BF154" s="254">
        <f t="shared" si="540"/>
        <v>285.0715140438336</v>
      </c>
      <c r="BG154" s="253">
        <f t="shared" si="540"/>
        <v>208.0688358986592</v>
      </c>
      <c r="BH154" s="254">
        <f t="shared" si="540"/>
        <v>206.80530984</v>
      </c>
      <c r="BI154" s="254">
        <f t="shared" si="540"/>
        <v>273.70548836999996</v>
      </c>
      <c r="BJ154" s="254">
        <f t="shared" si="540"/>
        <v>204.0237652107392</v>
      </c>
      <c r="BK154" s="523"/>
      <c r="BL154" s="77">
        <v>123.86961609999999</v>
      </c>
      <c r="BM154" s="77">
        <v>149.39399990000004</v>
      </c>
      <c r="BN154" s="77">
        <v>118.1432322</v>
      </c>
      <c r="BO154" s="78">
        <v>137.80724629999997</v>
      </c>
      <c r="BP154" s="79">
        <v>104.69999999999999</v>
      </c>
      <c r="BQ154" s="80">
        <v>141.21213900000004</v>
      </c>
      <c r="BR154" s="80">
        <v>141.987861</v>
      </c>
      <c r="BS154" s="81">
        <f>SUM(BS156:BS162)</f>
        <v>142.8</v>
      </c>
      <c r="BT154" s="82">
        <f>BT156+BT159+BT160+BT162</f>
        <v>116.89999999999999</v>
      </c>
      <c r="BU154" s="83">
        <v>135.42087500000002</v>
      </c>
      <c r="BV154" s="83">
        <v>155.17912499999994</v>
      </c>
      <c r="BW154" s="84">
        <f>Annually!AD162-Quarterly!BV154-Quarterly!BU154-Quarterly!BT154</f>
        <v>173.493</v>
      </c>
      <c r="BX154" s="83">
        <f aca="true" t="shared" si="541" ref="BX154:CM154">BX156+BX159+BX160+BX162</f>
        <v>144.8</v>
      </c>
      <c r="BY154" s="83">
        <f t="shared" si="541"/>
        <v>145.6301598</v>
      </c>
      <c r="BZ154" s="83">
        <f t="shared" si="541"/>
        <v>123.96984020000004</v>
      </c>
      <c r="CA154" s="85">
        <f t="shared" si="541"/>
        <v>141.40537117999997</v>
      </c>
      <c r="CB154" s="261">
        <f t="shared" si="541"/>
        <v>108.4</v>
      </c>
      <c r="CC154" s="86">
        <f t="shared" si="541"/>
        <v>135.4</v>
      </c>
      <c r="CD154" s="86">
        <f t="shared" si="541"/>
        <v>132.46614796000003</v>
      </c>
      <c r="CE154" s="86">
        <f t="shared" si="541"/>
        <v>121.63937903999995</v>
      </c>
      <c r="CF154" s="261">
        <f t="shared" si="541"/>
        <v>147.7129791</v>
      </c>
      <c r="CG154" s="86">
        <f t="shared" si="541"/>
        <v>143.75807540000002</v>
      </c>
      <c r="CH154" s="86">
        <f t="shared" si="541"/>
        <v>152.62894549999996</v>
      </c>
      <c r="CI154" s="86">
        <f t="shared" si="541"/>
        <v>172.1</v>
      </c>
      <c r="CJ154" s="261">
        <f t="shared" si="541"/>
        <v>149.2541266</v>
      </c>
      <c r="CK154" s="86">
        <f t="shared" si="541"/>
        <v>176.89414269999992</v>
      </c>
      <c r="CL154" s="86">
        <f t="shared" si="541"/>
        <v>149.19937400000012</v>
      </c>
      <c r="CM154" s="408">
        <f t="shared" si="541"/>
        <v>193.15857509999606</v>
      </c>
      <c r="CN154" s="261">
        <f aca="true" t="shared" si="542" ref="CN154:CU154">CN156+CN157+CN159+CN160+CN162</f>
        <v>158.6208314</v>
      </c>
      <c r="CO154" s="86">
        <f t="shared" si="542"/>
        <v>160.96423430000002</v>
      </c>
      <c r="CP154" s="86">
        <f t="shared" si="542"/>
        <v>141.4873139</v>
      </c>
      <c r="CQ154" s="86">
        <f t="shared" si="542"/>
        <v>165.15992430000006</v>
      </c>
      <c r="CR154" s="476">
        <f t="shared" si="542"/>
        <v>159.88467370000004</v>
      </c>
      <c r="CS154" s="86">
        <f t="shared" si="542"/>
        <v>161.53561570000002</v>
      </c>
      <c r="CT154" s="86">
        <f t="shared" si="542"/>
        <v>153.44537830000004</v>
      </c>
      <c r="CU154" s="86">
        <f t="shared" si="542"/>
        <v>168.6959392</v>
      </c>
      <c r="CV154" s="412">
        <f>CV156+CV157+CV159+CV160+CV162</f>
        <v>163.73787939999997</v>
      </c>
      <c r="CW154" s="86">
        <f>CW156+CW157+CW159+CW160+CW162</f>
        <v>188.25377900000004</v>
      </c>
      <c r="CX154" s="86">
        <f>CX156+CX157+CX159+CX160+CX162</f>
        <v>173.7231911</v>
      </c>
      <c r="CY154" s="86">
        <f>Annually!AK162-CV154-CW154-CX154</f>
        <v>201.4109274</v>
      </c>
      <c r="CZ154" s="412">
        <f>CZ156+CZ157+CZ159+CZ160+CZ162</f>
        <v>180.6360566</v>
      </c>
      <c r="DA154" s="86">
        <f>DA156+DA157+DA159+DA160+DA162</f>
        <v>172.81806780000002</v>
      </c>
      <c r="DB154" s="86">
        <f>DB156+DB157+DB159+DB160+DB162</f>
        <v>179.00682383999995</v>
      </c>
      <c r="DC154" s="86">
        <f>Annually!AL162-CZ154-DA154-DB154</f>
        <v>220.8731916</v>
      </c>
      <c r="DD154" s="412">
        <f>DD156+DD157+DD159+DD160+DD162</f>
        <v>234.9217204</v>
      </c>
      <c r="DE154" s="86">
        <f>DE156+DE157+DE159+DE160+DE162</f>
        <v>210.4839266</v>
      </c>
      <c r="DF154" s="86">
        <f>DF156+DF157+DF159+DF160+DF162</f>
        <v>225.53301480000007</v>
      </c>
      <c r="DG154" s="86">
        <f>Annually!AM162-DD154-DE154-DF154</f>
        <v>228.15426799999997</v>
      </c>
      <c r="DH154" s="412">
        <f>DH156+DH157+DH159+DH160+DH162</f>
        <v>260.3828268</v>
      </c>
      <c r="DI154" s="86">
        <f>DI156+DI157+DI159+DI160+DI162</f>
        <v>271.77485240000004</v>
      </c>
      <c r="DJ154" s="86">
        <f>DJ156+DJ157+DJ159+DJ160+DJ162</f>
        <v>267.78504499999997</v>
      </c>
      <c r="DK154" s="86">
        <f>Annually!AN162-DH154-DI154-DJ154</f>
        <v>261.9809494</v>
      </c>
      <c r="DL154" s="412">
        <f>DL156+DL157+DL159+DL160+DL162</f>
        <v>216.34168010000002</v>
      </c>
      <c r="DM154" s="86">
        <f>DM156+DM157+DM158+DM159+DM160+DM162</f>
        <v>154.9116912</v>
      </c>
      <c r="DN154" s="86">
        <f>DN156+DN157+DN158+DN159+DN160+DN162</f>
        <v>161.50393110000002</v>
      </c>
      <c r="DO154" s="86">
        <f>Annually!AO162-DL154-DM154-DN154</f>
        <v>237.57530489999996</v>
      </c>
      <c r="DP154" s="412">
        <f>DP156+DP157+DP158+DP159+DP160+DP162</f>
        <v>234.35929180000002</v>
      </c>
      <c r="DQ154" s="86">
        <f>DQ156+DQ157+DQ158+DQ159+DQ160+DQ162</f>
        <v>194.99825180000002</v>
      </c>
      <c r="DR154" s="86">
        <f>DR156+DR157+DR158+DR159+DR160+DR162</f>
        <v>277.1178142</v>
      </c>
      <c r="DS154" s="86">
        <f>Annually!AP162-DP154-DQ154-DR154</f>
        <v>204.09021739999991</v>
      </c>
    </row>
    <row r="155" spans="1:169" s="129" customFormat="1" ht="15.75">
      <c r="A155" s="100" t="s">
        <v>104</v>
      </c>
      <c r="B155" s="100" t="s">
        <v>93</v>
      </c>
      <c r="C155" s="501"/>
      <c r="D155" s="501"/>
      <c r="E155" s="501"/>
      <c r="F155" s="502"/>
      <c r="G155" s="503"/>
      <c r="H155" s="501"/>
      <c r="I155" s="501"/>
      <c r="J155" s="502"/>
      <c r="K155" s="504"/>
      <c r="L155" s="505"/>
      <c r="M155" s="505"/>
      <c r="N155" s="506"/>
      <c r="O155" s="507"/>
      <c r="P155" s="505"/>
      <c r="Q155" s="505"/>
      <c r="R155" s="506"/>
      <c r="S155" s="508"/>
      <c r="T155" s="509"/>
      <c r="U155" s="509"/>
      <c r="V155" s="509"/>
      <c r="W155" s="508"/>
      <c r="X155" s="509"/>
      <c r="Y155" s="509"/>
      <c r="Z155" s="509"/>
      <c r="AA155" s="508"/>
      <c r="AB155" s="509"/>
      <c r="AC155" s="509"/>
      <c r="AD155" s="509"/>
      <c r="AE155" s="256">
        <f>AE161+AE163</f>
        <v>0.0284482</v>
      </c>
      <c r="AF155" s="257">
        <f aca="true" t="shared" si="543" ref="AF155:AL155">AF161+AF163</f>
        <v>0.0238393</v>
      </c>
      <c r="AG155" s="257">
        <f t="shared" si="543"/>
        <v>0.0154462</v>
      </c>
      <c r="AH155" s="257">
        <f t="shared" si="543"/>
        <v>0.0350666</v>
      </c>
      <c r="AI155" s="465">
        <f t="shared" si="543"/>
        <v>0.0440018</v>
      </c>
      <c r="AJ155" s="257">
        <f t="shared" si="543"/>
        <v>0.03585579999999999</v>
      </c>
      <c r="AK155" s="257">
        <f t="shared" si="543"/>
        <v>0.0381732</v>
      </c>
      <c r="AL155" s="257">
        <f t="shared" si="543"/>
        <v>0.027069099999999995</v>
      </c>
      <c r="AM155" s="465">
        <f aca="true" t="shared" si="544" ref="AM155:AV155">AM161+AM163</f>
        <v>0.0017671</v>
      </c>
      <c r="AN155" s="257">
        <f t="shared" si="544"/>
        <v>0.0477685</v>
      </c>
      <c r="AO155" s="257">
        <f t="shared" si="544"/>
        <v>0.03936560000000001</v>
      </c>
      <c r="AP155" s="257">
        <f t="shared" si="544"/>
        <v>0.031044799999999997</v>
      </c>
      <c r="AQ155" s="465">
        <f t="shared" si="544"/>
        <v>0.0028081</v>
      </c>
      <c r="AR155" s="257">
        <f t="shared" si="544"/>
        <v>0.040914099999999995</v>
      </c>
      <c r="AS155" s="257">
        <f t="shared" si="544"/>
        <v>0.0249235</v>
      </c>
      <c r="AT155" s="257">
        <f>AT161+AT163</f>
        <v>0.022052200000000015</v>
      </c>
      <c r="AU155" s="465">
        <f t="shared" si="544"/>
        <v>0.0048033</v>
      </c>
      <c r="AV155" s="257">
        <f t="shared" si="544"/>
        <v>0.04299734000000001</v>
      </c>
      <c r="AW155" s="257">
        <f aca="true" t="shared" si="545" ref="AW155:BB155">AW161+AW163</f>
        <v>0.028413299999999996</v>
      </c>
      <c r="AX155" s="268">
        <f t="shared" si="545"/>
        <v>0.02505732999999999</v>
      </c>
      <c r="AY155" s="256">
        <f t="shared" si="545"/>
        <v>0.019458514963200002</v>
      </c>
      <c r="AZ155" s="257">
        <f t="shared" si="545"/>
        <v>0.00675331</v>
      </c>
      <c r="BA155" s="257">
        <f t="shared" si="545"/>
        <v>0.0076720057024</v>
      </c>
      <c r="BB155" s="268">
        <f t="shared" si="545"/>
        <v>0.005116548511999995</v>
      </c>
      <c r="BC155" s="256">
        <f aca="true" t="shared" si="546" ref="BC155:BH155">BC161+BC163</f>
        <v>0.0047473417216</v>
      </c>
      <c r="BD155" s="257">
        <f t="shared" si="546"/>
        <v>0.006033161088</v>
      </c>
      <c r="BE155" s="257">
        <f t="shared" si="546"/>
        <v>0.0064112941824</v>
      </c>
      <c r="BF155" s="268">
        <f t="shared" si="546"/>
        <v>0.006095235712</v>
      </c>
      <c r="BG155" s="256">
        <f t="shared" si="546"/>
        <v>0.0046974986592</v>
      </c>
      <c r="BH155" s="257">
        <f t="shared" si="546"/>
        <v>0.006668540000000001</v>
      </c>
      <c r="BI155" s="257">
        <f>BI161+BI163</f>
        <v>0.00670317</v>
      </c>
      <c r="BJ155" s="257">
        <f>BJ161+BJ163</f>
        <v>0.004639215036800001</v>
      </c>
      <c r="BK155" s="523"/>
      <c r="BL155" s="398"/>
      <c r="BM155" s="398"/>
      <c r="BN155" s="398"/>
      <c r="BO155" s="399"/>
      <c r="BP155" s="400"/>
      <c r="BQ155" s="401"/>
      <c r="BR155" s="401"/>
      <c r="BS155" s="402"/>
      <c r="BT155" s="153"/>
      <c r="BU155" s="154"/>
      <c r="BV155" s="154"/>
      <c r="BW155" s="152"/>
      <c r="BX155" s="510"/>
      <c r="BY155" s="154"/>
      <c r="BZ155" s="154"/>
      <c r="CA155" s="155"/>
      <c r="CB155" s="262"/>
      <c r="CC155" s="104"/>
      <c r="CD155" s="104"/>
      <c r="CE155" s="104"/>
      <c r="CF155" s="262"/>
      <c r="CG155" s="104"/>
      <c r="CH155" s="104"/>
      <c r="CI155" s="104"/>
      <c r="CJ155" s="262"/>
      <c r="CK155" s="104"/>
      <c r="CL155" s="104"/>
      <c r="CM155" s="409"/>
      <c r="CN155" s="262"/>
      <c r="CO155" s="104"/>
      <c r="CP155" s="104"/>
      <c r="CQ155" s="104"/>
      <c r="CR155" s="478"/>
      <c r="CS155" s="104"/>
      <c r="CT155" s="104"/>
      <c r="CU155" s="104"/>
      <c r="CV155" s="413"/>
      <c r="CW155" s="104"/>
      <c r="CX155" s="104"/>
      <c r="CY155" s="104"/>
      <c r="CZ155" s="413"/>
      <c r="DA155" s="104"/>
      <c r="DB155" s="104"/>
      <c r="DC155" s="104"/>
      <c r="DD155" s="413"/>
      <c r="DE155" s="104"/>
      <c r="DF155" s="104"/>
      <c r="DG155" s="104"/>
      <c r="DH155" s="413"/>
      <c r="DI155" s="104"/>
      <c r="DJ155" s="104"/>
      <c r="DK155" s="104"/>
      <c r="DL155" s="413"/>
      <c r="DM155" s="104"/>
      <c r="DN155" s="104"/>
      <c r="DO155" s="104"/>
      <c r="DP155" s="413"/>
      <c r="DQ155" s="104"/>
      <c r="DR155" s="104"/>
      <c r="DS155" s="104"/>
      <c r="DT155" s="156"/>
      <c r="DU155" s="156"/>
      <c r="DV155" s="156"/>
      <c r="DW155" s="156"/>
      <c r="DX155" s="156"/>
      <c r="DY155" s="156"/>
      <c r="DZ155" s="156"/>
      <c r="EA155" s="156"/>
      <c r="EB155" s="156"/>
      <c r="EC155" s="156"/>
      <c r="ED155" s="156"/>
      <c r="EE155" s="156"/>
      <c r="EF155" s="156"/>
      <c r="EG155" s="156"/>
      <c r="EH155" s="156"/>
      <c r="EI155" s="156"/>
      <c r="EJ155" s="156"/>
      <c r="EK155" s="156"/>
      <c r="EL155" s="156"/>
      <c r="EM155" s="156"/>
      <c r="EN155" s="156"/>
      <c r="EO155" s="156"/>
      <c r="EP155" s="156"/>
      <c r="EQ155" s="156"/>
      <c r="ER155" s="156"/>
      <c r="ES155" s="156"/>
      <c r="ET155" s="156"/>
      <c r="EU155" s="156"/>
      <c r="EV155" s="156"/>
      <c r="EW155" s="156"/>
      <c r="EX155" s="156"/>
      <c r="EY155" s="156"/>
      <c r="EZ155" s="156"/>
      <c r="FA155" s="156"/>
      <c r="FB155" s="156"/>
      <c r="FC155" s="156"/>
      <c r="FD155" s="156"/>
      <c r="FE155" s="156"/>
      <c r="FF155" s="156"/>
      <c r="FG155" s="156"/>
      <c r="FH155" s="156"/>
      <c r="FI155" s="156"/>
      <c r="FJ155" s="156"/>
      <c r="FK155" s="156"/>
      <c r="FL155" s="156"/>
      <c r="FM155" s="156"/>
    </row>
    <row r="156" spans="1:149" ht="15.75">
      <c r="A156" s="130" t="s">
        <v>131</v>
      </c>
      <c r="B156" s="117" t="s">
        <v>82</v>
      </c>
      <c r="C156" s="118">
        <v>50.35326</v>
      </c>
      <c r="D156" s="118">
        <v>47.777499999999996</v>
      </c>
      <c r="E156" s="118">
        <v>45.04109000000001</v>
      </c>
      <c r="F156" s="119">
        <v>33.44205500000001</v>
      </c>
      <c r="G156" s="120">
        <v>45.1</v>
      </c>
      <c r="H156" s="118">
        <v>48.294329999999995</v>
      </c>
      <c r="I156" s="118">
        <v>38.305669999999985</v>
      </c>
      <c r="J156" s="119">
        <f>Annually!H164-SUM(G156:I156)</f>
        <v>48.14229</v>
      </c>
      <c r="K156" s="259">
        <v>48.3</v>
      </c>
      <c r="L156" s="252">
        <v>59.066035000000014</v>
      </c>
      <c r="M156" s="252">
        <v>52.83396499999998</v>
      </c>
      <c r="N156" s="267">
        <f>Annually!I164-Quarterly!M156-L156-K156</f>
        <v>80.64100900000001</v>
      </c>
      <c r="O156" s="259">
        <v>62.96951</v>
      </c>
      <c r="P156" s="251">
        <f>48.52075+73.348395-O156</f>
        <v>58.899635</v>
      </c>
      <c r="Q156" s="251">
        <v>51.39983999999998</v>
      </c>
      <c r="R156" s="251">
        <f>-Q156-P156-O156+Annually!J164</f>
        <v>59.23101500000001</v>
      </c>
      <c r="S156" s="259">
        <v>60.3</v>
      </c>
      <c r="T156" s="252">
        <v>57.2</v>
      </c>
      <c r="U156" s="252">
        <v>54.56921</v>
      </c>
      <c r="V156" s="252">
        <v>52.93079</v>
      </c>
      <c r="W156" s="259">
        <v>52.12005</v>
      </c>
      <c r="X156" s="257">
        <v>43.427225</v>
      </c>
      <c r="Y156" s="257">
        <v>48.552725</v>
      </c>
      <c r="Z156" s="252">
        <f>Annually!L164-Y156-X156-W156</f>
        <v>72.6</v>
      </c>
      <c r="AA156" s="259">
        <v>45.007735</v>
      </c>
      <c r="AB156" s="257">
        <v>82.74238</v>
      </c>
      <c r="AC156" s="257">
        <v>51.470935</v>
      </c>
      <c r="AD156" s="252">
        <f>Annually!M164-AC156-AB156-AA156</f>
        <v>75.31104500000004</v>
      </c>
      <c r="AE156" s="259">
        <v>39.636545</v>
      </c>
      <c r="AF156" s="257">
        <v>65.276735</v>
      </c>
      <c r="AG156" s="257">
        <v>30.454949999999982</v>
      </c>
      <c r="AH156" s="252">
        <f>Annually!N164-AG156-AF156-AE156</f>
        <v>31.83617500000001</v>
      </c>
      <c r="AI156" s="275">
        <v>39.716185</v>
      </c>
      <c r="AJ156" s="252">
        <v>34.58381500000001</v>
      </c>
      <c r="AK156" s="252">
        <v>27.713254999999997</v>
      </c>
      <c r="AL156" s="252">
        <f>Annually!O164-AK156-AJ156-AI156</f>
        <v>27.76776499999999</v>
      </c>
      <c r="AM156" s="275">
        <v>32.12699</v>
      </c>
      <c r="AN156" s="252">
        <v>43.470054999999995</v>
      </c>
      <c r="AO156" s="252">
        <v>39.79602499999999</v>
      </c>
      <c r="AP156" s="252">
        <f>Annually!P164-AM156-AN156-AO156</f>
        <v>42.05581</v>
      </c>
      <c r="AQ156" s="275">
        <v>48.46159</v>
      </c>
      <c r="AR156" s="252">
        <v>43.977605</v>
      </c>
      <c r="AS156" s="252">
        <v>28.593529999999987</v>
      </c>
      <c r="AT156" s="252">
        <f>Annually!Q164-AQ156-AR156-AS156</f>
        <v>60.46420500000001</v>
      </c>
      <c r="AU156" s="275">
        <v>73.44373499999999</v>
      </c>
      <c r="AV156" s="252">
        <v>73.90185000000001</v>
      </c>
      <c r="AW156" s="252">
        <v>86.73409999999997</v>
      </c>
      <c r="AX156" s="267">
        <f>Annually!R164-AU156-AV156-AW156</f>
        <v>64.84135000000002</v>
      </c>
      <c r="AY156" s="259">
        <v>115.9325</v>
      </c>
      <c r="AZ156" s="252">
        <v>109.51055</v>
      </c>
      <c r="BA156" s="252">
        <v>115.908</v>
      </c>
      <c r="BB156" s="267">
        <f>Annually!S164-AY156-AZ156-BA156</f>
        <v>92.29670000000003</v>
      </c>
      <c r="BC156" s="259">
        <v>70.717</v>
      </c>
      <c r="BD156" s="252">
        <v>13.74758799999995</v>
      </c>
      <c r="BE156" s="252">
        <v>21.360000000000056</v>
      </c>
      <c r="BF156" s="267">
        <f>Annually!T164-BC156-BD156-BE156</f>
        <v>153.85304999999994</v>
      </c>
      <c r="BG156" s="259">
        <v>93.89635000000001</v>
      </c>
      <c r="BH156" s="252">
        <v>55.452799999999996</v>
      </c>
      <c r="BI156" s="252">
        <v>127.488</v>
      </c>
      <c r="BJ156" s="267">
        <f>Annually!U164-BG156-BH156-BI156</f>
        <v>81.99494999999999</v>
      </c>
      <c r="BK156" s="523"/>
      <c r="BL156" s="158">
        <v>53.66786</v>
      </c>
      <c r="BM156" s="158">
        <v>45.5529</v>
      </c>
      <c r="BN156" s="158">
        <v>44.22494999999999</v>
      </c>
      <c r="BO156" s="159">
        <v>36.842195000000004</v>
      </c>
      <c r="BP156" s="160">
        <v>44.5</v>
      </c>
      <c r="BQ156" s="161">
        <v>47.474680000000006</v>
      </c>
      <c r="BR156" s="161">
        <v>40.22531999999998</v>
      </c>
      <c r="BS156" s="162">
        <f>Annually!AC164-SUM(Quarterly!BP156:BR156)</f>
        <v>47.70000000000002</v>
      </c>
      <c r="BT156" s="163">
        <v>47.6</v>
      </c>
      <c r="BU156" s="164">
        <v>60.220875</v>
      </c>
      <c r="BV156" s="164">
        <v>52.779124999999986</v>
      </c>
      <c r="BW156" s="165">
        <f>Annually!AD164-Quarterly!BV156-Quarterly!BU156-Quarterly!BT156</f>
        <v>80.06800000000001</v>
      </c>
      <c r="BX156" s="163">
        <v>60.9</v>
      </c>
      <c r="BY156" s="164">
        <f>73.151395+48.52075-BX156</f>
        <v>60.772145</v>
      </c>
      <c r="BZ156" s="164">
        <v>44.12785500000002</v>
      </c>
      <c r="CA156" s="166">
        <f>-BZ156-BY156-BX156+Annually!AE164</f>
        <v>66.427505</v>
      </c>
      <c r="CB156" s="263">
        <v>51.9</v>
      </c>
      <c r="CC156" s="121">
        <v>57.699999999999996</v>
      </c>
      <c r="CD156" s="121">
        <v>60.817570000000025</v>
      </c>
      <c r="CE156" s="121">
        <v>51.71603499999998</v>
      </c>
      <c r="CF156" s="263">
        <v>55.81255</v>
      </c>
      <c r="CG156" s="121">
        <v>43.42722500000001</v>
      </c>
      <c r="CH156" s="121">
        <v>48.560225</v>
      </c>
      <c r="CI156" s="121">
        <f>Annually!AG164-CH156-CG156-CF156</f>
        <v>66.6</v>
      </c>
      <c r="CJ156" s="263">
        <v>49.313735</v>
      </c>
      <c r="CK156" s="121">
        <v>84.01863</v>
      </c>
      <c r="CL156" s="121">
        <v>47.57314499999999</v>
      </c>
      <c r="CM156" s="410">
        <f>Annually!AH164-CL156-CK156-CJ156</f>
        <v>77.57659000000001</v>
      </c>
      <c r="CN156" s="414">
        <v>41.652545</v>
      </c>
      <c r="CO156" s="121">
        <v>60.333535</v>
      </c>
      <c r="CP156" s="121">
        <v>30.38940000000001</v>
      </c>
      <c r="CQ156" s="121">
        <f>Annually!AI164-CP156-CO156-CN156</f>
        <v>36.779925000000006</v>
      </c>
      <c r="CR156" s="479">
        <v>38.798685000000006</v>
      </c>
      <c r="CS156" s="121">
        <v>34.2988</v>
      </c>
      <c r="CT156" s="121">
        <v>28.936769999999996</v>
      </c>
      <c r="CU156" s="121">
        <f>Annually!AJ164-CT156-CS156-CR156</f>
        <v>26.98964000000001</v>
      </c>
      <c r="CV156" s="414">
        <v>26.80774</v>
      </c>
      <c r="CW156" s="121">
        <v>49.585305000000005</v>
      </c>
      <c r="CX156" s="121">
        <v>34.580675</v>
      </c>
      <c r="CY156" s="121">
        <f>Annually!AK164-CV156-CW156-CX156</f>
        <v>47.238359999999986</v>
      </c>
      <c r="CZ156" s="414">
        <v>47.20964</v>
      </c>
      <c r="DA156" s="121">
        <v>44.624125000000014</v>
      </c>
      <c r="DB156" s="121">
        <v>29.10580999999997</v>
      </c>
      <c r="DC156" s="121">
        <f>Annually!AL164-CZ156-DA156-DB156</f>
        <v>58.946605</v>
      </c>
      <c r="DD156" s="414">
        <v>72.466735</v>
      </c>
      <c r="DE156" s="121">
        <v>75.64305000000002</v>
      </c>
      <c r="DF156" s="121">
        <v>84.81009999999998</v>
      </c>
      <c r="DG156" s="121">
        <f>Annually!AM164-DD156-DE156-DF156</f>
        <v>64.43710000000007</v>
      </c>
      <c r="DH156" s="414">
        <v>113.33610000000003</v>
      </c>
      <c r="DI156" s="121">
        <v>109.40705</v>
      </c>
      <c r="DJ156" s="121">
        <v>109.88279999999999</v>
      </c>
      <c r="DK156" s="121">
        <f>Annually!AN164-DH156-DI156-DJ156</f>
        <v>97.63437999999992</v>
      </c>
      <c r="DL156" s="414">
        <v>72.17655</v>
      </c>
      <c r="DM156" s="121">
        <v>18.231588</v>
      </c>
      <c r="DN156" s="121">
        <v>20.677</v>
      </c>
      <c r="DO156" s="121">
        <f>Annually!AO164-DL156-DM156-DN156</f>
        <v>109.80649000000003</v>
      </c>
      <c r="DP156" s="414">
        <v>116.4251</v>
      </c>
      <c r="DQ156" s="121">
        <v>49.686550000000004</v>
      </c>
      <c r="DR156" s="121">
        <v>126.259427</v>
      </c>
      <c r="DS156" s="121">
        <f>Annually!AP164-DP156-DQ156-DR156</f>
        <v>88.30570000000002</v>
      </c>
      <c r="ES156" s="562"/>
    </row>
    <row r="157" spans="1:123" ht="15.75">
      <c r="A157" s="130" t="s">
        <v>242</v>
      </c>
      <c r="B157" s="116" t="s">
        <v>243</v>
      </c>
      <c r="C157" s="118"/>
      <c r="D157" s="118"/>
      <c r="E157" s="118"/>
      <c r="F157" s="119"/>
      <c r="G157" s="120"/>
      <c r="H157" s="118"/>
      <c r="I157" s="118"/>
      <c r="J157" s="119"/>
      <c r="K157" s="259"/>
      <c r="L157" s="252"/>
      <c r="M157" s="252"/>
      <c r="N157" s="267"/>
      <c r="O157" s="259"/>
      <c r="P157" s="251"/>
      <c r="Q157" s="251"/>
      <c r="R157" s="251"/>
      <c r="S157" s="259"/>
      <c r="T157" s="252"/>
      <c r="U157" s="252"/>
      <c r="V157" s="252"/>
      <c r="W157" s="259"/>
      <c r="X157" s="257"/>
      <c r="Y157" s="257"/>
      <c r="Z157" s="252"/>
      <c r="AA157" s="259"/>
      <c r="AB157" s="257"/>
      <c r="AC157" s="257"/>
      <c r="AD157" s="252"/>
      <c r="AE157" s="259">
        <v>10.328529999999999</v>
      </c>
      <c r="AF157" s="257">
        <v>13.86416</v>
      </c>
      <c r="AG157" s="257">
        <v>17.1704</v>
      </c>
      <c r="AH157" s="252">
        <f>Annually!N165-AG157-AF157-AE157</f>
        <v>18.756149999999998</v>
      </c>
      <c r="AI157" s="275">
        <v>14.5199</v>
      </c>
      <c r="AJ157" s="252">
        <v>15.2728</v>
      </c>
      <c r="AK157" s="252">
        <v>24.344600000000003</v>
      </c>
      <c r="AL157" s="252">
        <f>Annually!O165-AK157-AJ157-AI157</f>
        <v>17.37035</v>
      </c>
      <c r="AM157" s="275">
        <v>26.7981</v>
      </c>
      <c r="AN157" s="252">
        <v>26.149649999999998</v>
      </c>
      <c r="AO157" s="252">
        <v>32.727500000000006</v>
      </c>
      <c r="AP157" s="252">
        <f>Annually!P165-AM157-AN157-AO157</f>
        <v>33.34015000000001</v>
      </c>
      <c r="AQ157" s="275">
        <v>28.587550000000004</v>
      </c>
      <c r="AR157" s="252">
        <v>30.94465</v>
      </c>
      <c r="AS157" s="252">
        <v>36.90340754</v>
      </c>
      <c r="AT157" s="252">
        <f>Annually!Q165-AQ157-AR157-AS157</f>
        <v>34.868300000000005</v>
      </c>
      <c r="AU157" s="275">
        <v>44.62518</v>
      </c>
      <c r="AV157" s="252">
        <v>21.190799999999996</v>
      </c>
      <c r="AW157" s="252">
        <v>25.848900000000015</v>
      </c>
      <c r="AX157" s="267">
        <f>Annually!R165-AU157-AV157-AW157</f>
        <v>47.98479999999998</v>
      </c>
      <c r="AY157" s="259">
        <v>40.67035</v>
      </c>
      <c r="AZ157" s="252">
        <v>38.6633</v>
      </c>
      <c r="BA157" s="252">
        <v>41.087050000000005</v>
      </c>
      <c r="BB157" s="267">
        <f>Annually!S165-AY157-AZ157-BA157</f>
        <v>50.03060000000002</v>
      </c>
      <c r="BC157" s="259">
        <v>45.67087</v>
      </c>
      <c r="BD157" s="252">
        <v>11.2665</v>
      </c>
      <c r="BE157" s="252">
        <v>13.513000000000005</v>
      </c>
      <c r="BF157" s="267">
        <f>Annually!T165-BC157-BD157-BE157</f>
        <v>13.218500000000006</v>
      </c>
      <c r="BG157" s="259">
        <v>7.3263</v>
      </c>
      <c r="BH157" s="252">
        <v>22.6565</v>
      </c>
      <c r="BI157" s="252">
        <v>26.415199999999995</v>
      </c>
      <c r="BJ157" s="267">
        <f>Annually!U165-BG157-BH157-BI157</f>
        <v>18.390299999999993</v>
      </c>
      <c r="BK157" s="523"/>
      <c r="BL157" s="158"/>
      <c r="BM157" s="158"/>
      <c r="BN157" s="158"/>
      <c r="BO157" s="159"/>
      <c r="BP157" s="160"/>
      <c r="BQ157" s="161"/>
      <c r="BR157" s="161"/>
      <c r="BS157" s="162"/>
      <c r="BT157" s="163"/>
      <c r="BU157" s="164"/>
      <c r="BV157" s="164"/>
      <c r="BW157" s="165"/>
      <c r="BX157" s="163"/>
      <c r="BY157" s="164"/>
      <c r="BZ157" s="164"/>
      <c r="CA157" s="166"/>
      <c r="CB157" s="263"/>
      <c r="CC157" s="121"/>
      <c r="CD157" s="121"/>
      <c r="CE157" s="121"/>
      <c r="CF157" s="263"/>
      <c r="CG157" s="121"/>
      <c r="CH157" s="121"/>
      <c r="CI157" s="121"/>
      <c r="CJ157" s="263"/>
      <c r="CK157" s="121"/>
      <c r="CL157" s="121"/>
      <c r="CM157" s="410"/>
      <c r="CN157" s="414">
        <v>10.328529999999999</v>
      </c>
      <c r="CO157" s="121">
        <v>13.86416</v>
      </c>
      <c r="CP157" s="121">
        <v>17.1704</v>
      </c>
      <c r="CQ157" s="121">
        <f>Annually!AI165-CP157-CO157-CN157</f>
        <v>18.76215</v>
      </c>
      <c r="CR157" s="479">
        <v>14.4861</v>
      </c>
      <c r="CS157" s="121">
        <v>13.90785</v>
      </c>
      <c r="CT157" s="121">
        <v>25.745900000000002</v>
      </c>
      <c r="CU157" s="121">
        <f>Annually!AJ165-CT157-CS157-CR157</f>
        <v>16.17379999999999</v>
      </c>
      <c r="CV157" s="414">
        <v>25.165200000000002</v>
      </c>
      <c r="CW157" s="121">
        <v>26.746749999999995</v>
      </c>
      <c r="CX157" s="121">
        <v>33.33170000000001</v>
      </c>
      <c r="CY157" s="121">
        <f>Annually!AK165-CV157-CW157-CX157</f>
        <v>34.93695000000001</v>
      </c>
      <c r="CZ157" s="414">
        <v>26.76675</v>
      </c>
      <c r="DA157" s="121">
        <v>32.279849999999996</v>
      </c>
      <c r="DB157" s="121">
        <v>35.26116754000002</v>
      </c>
      <c r="DC157" s="121">
        <f>Annually!AL165-CZ157-DA157-DB157</f>
        <v>36.590539999999976</v>
      </c>
      <c r="DD157" s="414">
        <v>44.65848</v>
      </c>
      <c r="DE157" s="121">
        <v>21.6207</v>
      </c>
      <c r="DF157" s="121">
        <v>25.83890000000001</v>
      </c>
      <c r="DG157" s="121">
        <f>Annually!AM165-DD157-DE157-DF157</f>
        <v>47.98559999999999</v>
      </c>
      <c r="DH157" s="414">
        <v>40.22955</v>
      </c>
      <c r="DI157" s="121">
        <v>38.08969999999999</v>
      </c>
      <c r="DJ157" s="121">
        <v>40.25865</v>
      </c>
      <c r="DK157" s="121">
        <f>Annually!AN165-DH157-DI157-DJ157</f>
        <v>46.8638</v>
      </c>
      <c r="DL157" s="414">
        <v>50.688469999999995</v>
      </c>
      <c r="DM157" s="121">
        <v>11.266500000000002</v>
      </c>
      <c r="DN157" s="121">
        <v>13.512300000000002</v>
      </c>
      <c r="DO157" s="121">
        <f>Annually!AO165-DL157-DM157-DN157</f>
        <v>9.379199999999999</v>
      </c>
      <c r="DP157" s="414">
        <v>11.1663</v>
      </c>
      <c r="DQ157" s="121">
        <v>16.5125</v>
      </c>
      <c r="DR157" s="121">
        <v>31.047200000000004</v>
      </c>
      <c r="DS157" s="121">
        <f>Annually!AP165-DP157-DQ157-DR157</f>
        <v>12.209500000000006</v>
      </c>
    </row>
    <row r="158" spans="1:123" ht="15.75">
      <c r="A158" s="116" t="s">
        <v>287</v>
      </c>
      <c r="B158" s="116" t="s">
        <v>288</v>
      </c>
      <c r="C158" s="118"/>
      <c r="D158" s="118"/>
      <c r="E158" s="118"/>
      <c r="F158" s="119"/>
      <c r="G158" s="120"/>
      <c r="H158" s="118"/>
      <c r="I158" s="118"/>
      <c r="J158" s="119"/>
      <c r="K158" s="259"/>
      <c r="L158" s="252"/>
      <c r="M158" s="252"/>
      <c r="N158" s="267"/>
      <c r="O158" s="259"/>
      <c r="P158" s="251"/>
      <c r="Q158" s="251"/>
      <c r="R158" s="251"/>
      <c r="S158" s="259"/>
      <c r="T158" s="252"/>
      <c r="U158" s="252"/>
      <c r="V158" s="252"/>
      <c r="W158" s="259"/>
      <c r="X158" s="257"/>
      <c r="Y158" s="257"/>
      <c r="Z158" s="252"/>
      <c r="AA158" s="259"/>
      <c r="AB158" s="257"/>
      <c r="AC158" s="257"/>
      <c r="AD158" s="252"/>
      <c r="AE158" s="259"/>
      <c r="AF158" s="257"/>
      <c r="AG158" s="257"/>
      <c r="AH158" s="252"/>
      <c r="AI158" s="275"/>
      <c r="AJ158" s="252"/>
      <c r="AK158" s="252"/>
      <c r="AL158" s="252"/>
      <c r="AM158" s="275"/>
      <c r="AN158" s="252"/>
      <c r="AO158" s="252"/>
      <c r="AP158" s="252"/>
      <c r="AQ158" s="275"/>
      <c r="AR158" s="252"/>
      <c r="AS158" s="252"/>
      <c r="AT158" s="252"/>
      <c r="AU158" s="275"/>
      <c r="AV158" s="252"/>
      <c r="AW158" s="252"/>
      <c r="AX158" s="267"/>
      <c r="AY158" s="259"/>
      <c r="AZ158" s="252"/>
      <c r="BA158" s="252"/>
      <c r="BB158" s="267"/>
      <c r="BC158" s="259"/>
      <c r="BD158" s="252"/>
      <c r="BE158" s="252">
        <v>1.084</v>
      </c>
      <c r="BF158" s="267">
        <f>Annually!T166-BC158-BD158-BE158</f>
        <v>2.776</v>
      </c>
      <c r="BG158" s="259">
        <v>3.103</v>
      </c>
      <c r="BH158" s="252">
        <v>2.157999999999999</v>
      </c>
      <c r="BI158" s="252">
        <v>2.329</v>
      </c>
      <c r="BJ158" s="267">
        <f>Annually!U166-BG158-BH158-BI158</f>
        <v>3.129</v>
      </c>
      <c r="BK158" s="523"/>
      <c r="BL158" s="158"/>
      <c r="BM158" s="158"/>
      <c r="BN158" s="158"/>
      <c r="BO158" s="159"/>
      <c r="BP158" s="160"/>
      <c r="BQ158" s="161"/>
      <c r="BR158" s="161"/>
      <c r="BS158" s="162"/>
      <c r="BT158" s="163"/>
      <c r="BU158" s="164"/>
      <c r="BV158" s="164"/>
      <c r="BW158" s="165"/>
      <c r="BX158" s="163"/>
      <c r="BY158" s="164"/>
      <c r="BZ158" s="164"/>
      <c r="CA158" s="166"/>
      <c r="CB158" s="263"/>
      <c r="CC158" s="121"/>
      <c r="CD158" s="121"/>
      <c r="CE158" s="121"/>
      <c r="CF158" s="263"/>
      <c r="CG158" s="121"/>
      <c r="CH158" s="121"/>
      <c r="CI158" s="121"/>
      <c r="CJ158" s="263"/>
      <c r="CK158" s="121"/>
      <c r="CL158" s="121"/>
      <c r="CM158" s="410"/>
      <c r="CN158" s="414"/>
      <c r="CO158" s="121"/>
      <c r="CP158" s="121"/>
      <c r="CQ158" s="121"/>
      <c r="CR158" s="479"/>
      <c r="CS158" s="121"/>
      <c r="CT158" s="121"/>
      <c r="CU158" s="121"/>
      <c r="CV158" s="414"/>
      <c r="CW158" s="121"/>
      <c r="CX158" s="121"/>
      <c r="CY158" s="121"/>
      <c r="CZ158" s="414"/>
      <c r="DA158" s="121"/>
      <c r="DB158" s="121"/>
      <c r="DC158" s="121"/>
      <c r="DD158" s="414"/>
      <c r="DE158" s="121"/>
      <c r="DF158" s="121"/>
      <c r="DG158" s="121"/>
      <c r="DH158" s="414"/>
      <c r="DI158" s="121"/>
      <c r="DJ158" s="121"/>
      <c r="DK158" s="121"/>
      <c r="DL158" s="414"/>
      <c r="DM158" s="121"/>
      <c r="DN158" s="121">
        <v>0.6639999999999999</v>
      </c>
      <c r="DO158" s="121">
        <f>Annually!AO166-DL158-DM158-DN158</f>
        <v>3.128</v>
      </c>
      <c r="DP158" s="414">
        <v>3.082</v>
      </c>
      <c r="DQ158" s="121">
        <v>2.192</v>
      </c>
      <c r="DR158" s="121">
        <v>2.384</v>
      </c>
      <c r="DS158" s="121">
        <f>Annually!AP166-DP158-DQ158-DR158</f>
        <v>3.128999999999999</v>
      </c>
    </row>
    <row r="159" spans="1:123" ht="15.75">
      <c r="A159" s="116" t="s">
        <v>83</v>
      </c>
      <c r="B159" s="117" t="s">
        <v>19</v>
      </c>
      <c r="C159" s="118">
        <v>73.048</v>
      </c>
      <c r="D159" s="118">
        <v>84.93</v>
      </c>
      <c r="E159" s="118">
        <v>76.38299999999998</v>
      </c>
      <c r="F159" s="119">
        <v>102.86500000000001</v>
      </c>
      <c r="G159" s="120">
        <v>55.6</v>
      </c>
      <c r="H159" s="118">
        <v>87.42120500000001</v>
      </c>
      <c r="I159" s="118">
        <v>94.378795</v>
      </c>
      <c r="J159" s="119">
        <v>89.6</v>
      </c>
      <c r="K159" s="259">
        <v>64.1</v>
      </c>
      <c r="L159" s="252">
        <v>67.5</v>
      </c>
      <c r="M159" s="252">
        <v>95.583</v>
      </c>
      <c r="N159" s="260">
        <f>Annually!I167-Quarterly!M159-L159-K159</f>
        <v>87.20999999999998</v>
      </c>
      <c r="O159" s="259">
        <v>78.5</v>
      </c>
      <c r="P159" s="251">
        <f>155.8-O159</f>
        <v>77.30000000000001</v>
      </c>
      <c r="Q159" s="251">
        <v>72.1</v>
      </c>
      <c r="R159" s="251">
        <f>-Q159-P159-O159+Annually!J167</f>
        <v>69.29999999999998</v>
      </c>
      <c r="S159" s="259">
        <v>52</v>
      </c>
      <c r="T159" s="252">
        <v>69.8</v>
      </c>
      <c r="U159" s="252">
        <v>64.71640000000001</v>
      </c>
      <c r="V159" s="252">
        <v>64.47911499999998</v>
      </c>
      <c r="W159" s="259">
        <v>86.18349</v>
      </c>
      <c r="X159" s="257">
        <v>92.73459000000003</v>
      </c>
      <c r="Y159" s="257">
        <v>96.58191999999997</v>
      </c>
      <c r="Z159" s="252">
        <f>Annually!L167-Y159-X159-W159</f>
        <v>97.60000000000002</v>
      </c>
      <c r="AA159" s="259">
        <v>93.53918</v>
      </c>
      <c r="AB159" s="257">
        <v>85.71495999999986</v>
      </c>
      <c r="AC159" s="257">
        <v>94.34731000000015</v>
      </c>
      <c r="AD159" s="257">
        <f>Annually!M167-AC159-AB159-AA159</f>
        <v>107.92304999999605</v>
      </c>
      <c r="AE159" s="259">
        <v>99.87605</v>
      </c>
      <c r="AF159" s="257">
        <v>78.86735</v>
      </c>
      <c r="AG159" s="257">
        <v>85.21542999999998</v>
      </c>
      <c r="AH159" s="257">
        <f>Annually!N167-AG159-AF159-AE159</f>
        <v>101.15941000000005</v>
      </c>
      <c r="AI159" s="275">
        <v>100.38436</v>
      </c>
      <c r="AJ159" s="252">
        <v>105.81563999999999</v>
      </c>
      <c r="AK159" s="252">
        <v>90.43512300000005</v>
      </c>
      <c r="AL159" s="257">
        <f>Annually!O167-AK159-AJ159-AI159</f>
        <v>118.01732</v>
      </c>
      <c r="AM159" s="275">
        <v>105.27660399999999</v>
      </c>
      <c r="AN159" s="252">
        <v>103.95349000000002</v>
      </c>
      <c r="AO159" s="252">
        <v>96.87360000000001</v>
      </c>
      <c r="AP159" s="252">
        <f>Annually!P167-AM159-AN159-AO159</f>
        <v>111.16893000000002</v>
      </c>
      <c r="AQ159" s="275">
        <v>99.95857</v>
      </c>
      <c r="AR159" s="252">
        <v>88.132695</v>
      </c>
      <c r="AS159" s="252">
        <v>105.94026999999996</v>
      </c>
      <c r="AT159" s="252">
        <f>Annually!Q167-AQ159-AR159-AS159</f>
        <v>117.84520000000002</v>
      </c>
      <c r="AU159" s="275">
        <v>111.14965000000001</v>
      </c>
      <c r="AV159" s="252">
        <v>106.08497999999997</v>
      </c>
      <c r="AW159" s="252">
        <v>107.12060000000008</v>
      </c>
      <c r="AX159" s="267">
        <f>Annually!R167-AU159-AV159-AW159</f>
        <v>108.32563599999997</v>
      </c>
      <c r="AY159" s="259">
        <v>99.96432999999999</v>
      </c>
      <c r="AZ159" s="252">
        <v>117.12331999999998</v>
      </c>
      <c r="BA159" s="252">
        <v>110.12227</v>
      </c>
      <c r="BB159" s="267">
        <f>Annually!S167-AY159-AZ159-BA159</f>
        <v>110.65526000000001</v>
      </c>
      <c r="BC159" s="259">
        <v>86.91788</v>
      </c>
      <c r="BD159" s="252">
        <v>118.60752000000001</v>
      </c>
      <c r="BE159" s="252">
        <v>118.65349999999998</v>
      </c>
      <c r="BF159" s="267">
        <f>Annually!T167-BC159-BD159-BE159</f>
        <v>108.35123000000002</v>
      </c>
      <c r="BG159" s="259">
        <v>97.51814999999999</v>
      </c>
      <c r="BH159" s="252">
        <v>119.51266000000001</v>
      </c>
      <c r="BI159" s="252">
        <v>110.41084999999995</v>
      </c>
      <c r="BJ159" s="267">
        <f>Annually!U167-BG159-BH159-BI159</f>
        <v>94.02440999999999</v>
      </c>
      <c r="BK159" s="523"/>
      <c r="BL159" s="158">
        <v>65.417676</v>
      </c>
      <c r="BM159" s="158">
        <v>98.298654</v>
      </c>
      <c r="BN159" s="158">
        <v>68.74118999999999</v>
      </c>
      <c r="BO159" s="159">
        <v>96.24489</v>
      </c>
      <c r="BP159" s="160">
        <v>55.6</v>
      </c>
      <c r="BQ159" s="161">
        <v>87.42120500000001</v>
      </c>
      <c r="BR159" s="161">
        <v>94.378795</v>
      </c>
      <c r="BS159" s="162">
        <f>Annually!AC167-SUM(Quarterly!BP159:BR159)</f>
        <v>89.6</v>
      </c>
      <c r="BT159" s="163">
        <v>64.1</v>
      </c>
      <c r="BU159" s="164">
        <v>67.5</v>
      </c>
      <c r="BV159" s="164">
        <v>95.6</v>
      </c>
      <c r="BW159" s="165">
        <f>Annually!AD167-Quarterly!BV159-Quarterly!BU159-Quarterly!BT159</f>
        <v>87.19299999999998</v>
      </c>
      <c r="BX159" s="163">
        <v>78.6</v>
      </c>
      <c r="BY159" s="164">
        <f>155.7873-BX159</f>
        <v>77.1873</v>
      </c>
      <c r="BZ159" s="164">
        <v>72.11270000000002</v>
      </c>
      <c r="CA159" s="166">
        <f>-BZ159-BY159-BX159+Annually!AE167</f>
        <v>69.29999999999998</v>
      </c>
      <c r="CB159" s="263">
        <v>52</v>
      </c>
      <c r="CC159" s="121">
        <v>69.8</v>
      </c>
      <c r="CD159" s="121">
        <v>64.71640000000001</v>
      </c>
      <c r="CE159" s="121">
        <v>64.47911499999998</v>
      </c>
      <c r="CF159" s="263">
        <v>86.18349</v>
      </c>
      <c r="CG159" s="121">
        <v>92.73459000000003</v>
      </c>
      <c r="CH159" s="121">
        <v>96.58191999999997</v>
      </c>
      <c r="CI159" s="121">
        <f>Annually!AG167-CH159-CG159-CF159</f>
        <v>97.60000000000002</v>
      </c>
      <c r="CJ159" s="263">
        <v>93.53918</v>
      </c>
      <c r="CK159" s="121">
        <v>85.71495999999986</v>
      </c>
      <c r="CL159" s="121">
        <v>94.34731000000015</v>
      </c>
      <c r="CM159" s="410">
        <f>Annually!AH167-CL159-CK159-CJ159</f>
        <v>107.92304999999605</v>
      </c>
      <c r="CN159" s="414">
        <v>99.87605</v>
      </c>
      <c r="CO159" s="121">
        <v>78.86735</v>
      </c>
      <c r="CP159" s="121">
        <v>85.21542999999998</v>
      </c>
      <c r="CQ159" s="121">
        <f>Annually!AI167-CP159-CO159-CN159</f>
        <v>101.15941000000005</v>
      </c>
      <c r="CR159" s="479">
        <v>100.38436</v>
      </c>
      <c r="CS159" s="121">
        <v>105.86127</v>
      </c>
      <c r="CT159" s="121">
        <v>90.38949300000003</v>
      </c>
      <c r="CU159" s="121">
        <f>Annually!AJ167-CT159-CS159-CR159</f>
        <v>118.01732</v>
      </c>
      <c r="CV159" s="414">
        <v>105.27660399999999</v>
      </c>
      <c r="CW159" s="121">
        <v>103.95349000000002</v>
      </c>
      <c r="CX159" s="121">
        <v>96.87360000000001</v>
      </c>
      <c r="CY159" s="121">
        <f>Annually!AK167-CV159-CW159-CX159</f>
        <v>111.16893000000002</v>
      </c>
      <c r="CZ159" s="414">
        <v>99.95857</v>
      </c>
      <c r="DA159" s="121">
        <v>88.132695</v>
      </c>
      <c r="DB159" s="121">
        <v>105.94026999999996</v>
      </c>
      <c r="DC159" s="121">
        <f>Annually!AL167-CZ159-DA159-DB159</f>
        <v>117.84520000000002</v>
      </c>
      <c r="DD159" s="414">
        <v>111.14965000000001</v>
      </c>
      <c r="DE159" s="121">
        <v>106.08497999999997</v>
      </c>
      <c r="DF159" s="121">
        <v>107.12060000000008</v>
      </c>
      <c r="DG159" s="121">
        <f>Annually!AM167-DD159-DE159-DF159</f>
        <v>108.39490599999993</v>
      </c>
      <c r="DH159" s="414">
        <v>99.96432999999999</v>
      </c>
      <c r="DI159" s="121">
        <v>117.12332</v>
      </c>
      <c r="DJ159" s="121">
        <v>110.12227</v>
      </c>
      <c r="DK159" s="121">
        <f>Annually!AN167-DH159-DI159-DJ159</f>
        <v>110.27525999999999</v>
      </c>
      <c r="DL159" s="414">
        <v>86.91788000000001</v>
      </c>
      <c r="DM159" s="121">
        <v>118.60752</v>
      </c>
      <c r="DN159" s="121">
        <v>118.65350000000001</v>
      </c>
      <c r="DO159" s="121">
        <f>Annually!AO167-DL159-DM159-DN159</f>
        <v>108.35122999999996</v>
      </c>
      <c r="DP159" s="414">
        <v>97.51815</v>
      </c>
      <c r="DQ159" s="121">
        <v>119.51266000000001</v>
      </c>
      <c r="DR159" s="121">
        <v>110.41085</v>
      </c>
      <c r="DS159" s="121">
        <f>Annually!AP167-DP159-DQ159-DR159</f>
        <v>94.02441</v>
      </c>
    </row>
    <row r="160" spans="1:123" ht="15.75">
      <c r="A160" s="116" t="s">
        <v>84</v>
      </c>
      <c r="B160" s="117" t="s">
        <v>85</v>
      </c>
      <c r="C160" s="118">
        <v>3.123106</v>
      </c>
      <c r="D160" s="118">
        <v>4.070894</v>
      </c>
      <c r="E160" s="118">
        <v>3.840248999999999</v>
      </c>
      <c r="F160" s="119">
        <v>3.2607740000000014</v>
      </c>
      <c r="G160" s="120">
        <v>2.8</v>
      </c>
      <c r="H160" s="118">
        <v>5.0512250000000005</v>
      </c>
      <c r="I160" s="118">
        <v>5.448775</v>
      </c>
      <c r="J160" s="119">
        <f>Annually!H168-SUM(G160:I160)</f>
        <v>3.736877</v>
      </c>
      <c r="K160" s="259">
        <v>3.2</v>
      </c>
      <c r="L160" s="252">
        <v>6.057958999999999</v>
      </c>
      <c r="M160" s="252">
        <v>5.07979</v>
      </c>
      <c r="N160" s="260">
        <f>Annually!I168-Quarterly!M160-L160-K160</f>
        <v>4.208877000000001</v>
      </c>
      <c r="O160" s="259">
        <v>3.486399</v>
      </c>
      <c r="P160" s="251">
        <f>10-O160</f>
        <v>6.5136009999999995</v>
      </c>
      <c r="Q160" s="251">
        <v>5.5</v>
      </c>
      <c r="R160" s="251">
        <f>-Q160-P160-O160+Annually!J168</f>
        <v>3.8798700000000004</v>
      </c>
      <c r="S160" s="259">
        <v>2.9</v>
      </c>
      <c r="T160" s="252">
        <v>6.299999999999999</v>
      </c>
      <c r="U160" s="252">
        <v>5.4199670000000015</v>
      </c>
      <c r="V160" s="252">
        <v>3.720432999999998</v>
      </c>
      <c r="W160" s="259">
        <v>4.066807</v>
      </c>
      <c r="X160" s="257">
        <v>6.146211</v>
      </c>
      <c r="Y160" s="257">
        <v>5.586982</v>
      </c>
      <c r="Z160" s="252">
        <f>Annually!L168-Y160-X160-W160</f>
        <v>6.099999999999999</v>
      </c>
      <c r="AA160" s="259">
        <v>5.103828</v>
      </c>
      <c r="AB160" s="257">
        <v>5.8389679999999995</v>
      </c>
      <c r="AC160" s="257">
        <v>5.973272</v>
      </c>
      <c r="AD160" s="257">
        <f>Annually!M168-AC160-AB160-AA160</f>
        <v>5.978202999999995</v>
      </c>
      <c r="AE160" s="259">
        <v>5.153688</v>
      </c>
      <c r="AF160" s="257">
        <v>6.573683</v>
      </c>
      <c r="AG160" s="257">
        <v>6.915518999999999</v>
      </c>
      <c r="AH160" s="257">
        <f>Annually!N168-AG160-AF160-AE160</f>
        <v>6.881020000000002</v>
      </c>
      <c r="AI160" s="275">
        <v>4.825563</v>
      </c>
      <c r="AJ160" s="252">
        <v>6.274437</v>
      </c>
      <c r="AK160" s="252">
        <v>6.603949000000003</v>
      </c>
      <c r="AL160" s="257">
        <f>Annually!O168-AK160-AJ160-AI160</f>
        <v>5.762173</v>
      </c>
      <c r="AM160" s="275">
        <v>4.880456</v>
      </c>
      <c r="AN160" s="252">
        <v>6.193242000000001</v>
      </c>
      <c r="AO160" s="252">
        <v>7.184996999999998</v>
      </c>
      <c r="AP160" s="252">
        <f>Annually!P168-AM160-AN160-AO160</f>
        <v>5.811514000000003</v>
      </c>
      <c r="AQ160" s="275">
        <v>4.846798</v>
      </c>
      <c r="AR160" s="252">
        <v>6.154363</v>
      </c>
      <c r="AS160" s="252">
        <v>6.7912919999999986</v>
      </c>
      <c r="AT160" s="252">
        <f>Annually!Q168-AQ160-AR160-AS160</f>
        <v>5.863442000000003</v>
      </c>
      <c r="AU160" s="275">
        <v>4.97718576</v>
      </c>
      <c r="AV160" s="252">
        <v>5.434378380000001</v>
      </c>
      <c r="AW160" s="252">
        <v>6.022522599999996</v>
      </c>
      <c r="AX160" s="267">
        <f>Annually!R168-AU160-AV160-AW160</f>
        <v>5.683218629999998</v>
      </c>
      <c r="AY160" s="259">
        <v>5.3333056186592005</v>
      </c>
      <c r="AZ160" s="252">
        <v>5.53798651</v>
      </c>
      <c r="BA160" s="252">
        <v>5.6803454029888</v>
      </c>
      <c r="BB160" s="267">
        <f>Annually!S168-AY160-AZ160-BA160</f>
        <v>5.7132225475295995</v>
      </c>
      <c r="BC160" s="259">
        <v>4.9667818417216</v>
      </c>
      <c r="BD160" s="252">
        <v>5.557950865312</v>
      </c>
      <c r="BE160" s="252">
        <v>6.279151185808001</v>
      </c>
      <c r="BF160" s="267">
        <f>Annually!T168-BC160-BD160-BE160</f>
        <v>5.021266243833599</v>
      </c>
      <c r="BG160" s="259">
        <v>4.541429898659199</v>
      </c>
      <c r="BH160" s="252">
        <v>5.48135194</v>
      </c>
      <c r="BI160" s="252">
        <v>5.666358370000001</v>
      </c>
      <c r="BJ160" s="267">
        <f>Annually!U168-BG160-BH160-BI160</f>
        <v>4.786541310739199</v>
      </c>
      <c r="BK160" s="523"/>
      <c r="BL160" s="158">
        <v>3.096432</v>
      </c>
      <c r="BM160" s="158">
        <v>4.095021</v>
      </c>
      <c r="BN160" s="158">
        <v>3.832527999999999</v>
      </c>
      <c r="BO160" s="159">
        <v>3.2906020000000016</v>
      </c>
      <c r="BP160" s="160">
        <v>2.8</v>
      </c>
      <c r="BQ160" s="161">
        <v>5.040968</v>
      </c>
      <c r="BR160" s="161">
        <v>5.459032000000001</v>
      </c>
      <c r="BS160" s="162">
        <f>Annually!AC168-SUM(Quarterly!BP160:BR160)</f>
        <v>3.8000000000000007</v>
      </c>
      <c r="BT160" s="163">
        <v>3.3</v>
      </c>
      <c r="BU160" s="164">
        <v>6.1000000000000005</v>
      </c>
      <c r="BV160" s="164">
        <v>5.000000000000001</v>
      </c>
      <c r="BW160" s="165">
        <f>Annually!AD168-Quarterly!BV160-Quarterly!BU160-Quarterly!BT160</f>
        <v>4.272999999999998</v>
      </c>
      <c r="BX160" s="163">
        <v>3.4</v>
      </c>
      <c r="BY160" s="164">
        <f>9.5184-BX160</f>
        <v>6.118399999999999</v>
      </c>
      <c r="BZ160" s="164">
        <v>5.881600000000001</v>
      </c>
      <c r="CA160" s="166">
        <f>-BZ160-BY160-BX160+Annually!AE168</f>
        <v>3.9835699999999985</v>
      </c>
      <c r="CB160" s="263">
        <v>2.9</v>
      </c>
      <c r="CC160" s="121">
        <v>6.4</v>
      </c>
      <c r="CD160" s="121">
        <v>5.213852999999997</v>
      </c>
      <c r="CE160" s="121">
        <v>3.818162000000001</v>
      </c>
      <c r="CF160" s="263">
        <v>4.03933</v>
      </c>
      <c r="CG160" s="121">
        <v>6.133549</v>
      </c>
      <c r="CH160" s="121">
        <v>5.627121000000001</v>
      </c>
      <c r="CI160" s="121">
        <f>Annually!AG168-CH160-CG160-CF160</f>
        <v>6.1999999999999975</v>
      </c>
      <c r="CJ160" s="263">
        <v>5.065222</v>
      </c>
      <c r="CK160" s="121">
        <v>5.869832000000036</v>
      </c>
      <c r="CL160" s="121">
        <v>5.818433999999961</v>
      </c>
      <c r="CM160" s="410">
        <f>Annually!AH168-CL160-CK160-CJ160</f>
        <v>5.989257999999985</v>
      </c>
      <c r="CN160" s="414">
        <v>5.207282</v>
      </c>
      <c r="CO160" s="121">
        <v>6.486726</v>
      </c>
      <c r="CP160" s="121">
        <v>6.962096999999999</v>
      </c>
      <c r="CQ160" s="121">
        <f>Annually!AI168-CP160-CO160-CN160</f>
        <v>6.823261999999999</v>
      </c>
      <c r="CR160" s="479">
        <v>4.78029</v>
      </c>
      <c r="CS160" s="121">
        <v>6.3057240000000006</v>
      </c>
      <c r="CT160" s="121">
        <v>6.562223999999998</v>
      </c>
      <c r="CU160" s="121">
        <f>Annually!AJ168-CT160-CS160-CR160</f>
        <v>5.683736000000001</v>
      </c>
      <c r="CV160" s="414">
        <v>4.8369</v>
      </c>
      <c r="CW160" s="121">
        <v>6.2398299999999995</v>
      </c>
      <c r="CX160" s="121">
        <v>7.004199999999999</v>
      </c>
      <c r="CY160" s="121">
        <f>Annually!AK168-CV160-CW160-CX160</f>
        <v>5.891359999999999</v>
      </c>
      <c r="CZ160" s="414">
        <v>4.78785</v>
      </c>
      <c r="DA160" s="121">
        <v>6.124010000000001</v>
      </c>
      <c r="DB160" s="121">
        <v>6.845389999999997</v>
      </c>
      <c r="DC160" s="121">
        <f>Annually!AL168-CZ160-DA160-DB160</f>
        <v>5.835300000000001</v>
      </c>
      <c r="DD160" s="414">
        <v>4.95601</v>
      </c>
      <c r="DE160" s="121">
        <v>5.4129499999999995</v>
      </c>
      <c r="DF160" s="121">
        <v>6.0179</v>
      </c>
      <c r="DG160" s="121">
        <f>Annually!AM168-DD160-DE160-DF160</f>
        <v>5.644150000000001</v>
      </c>
      <c r="DH160" s="414">
        <v>5.330882</v>
      </c>
      <c r="DI160" s="121">
        <v>5.533447</v>
      </c>
      <c r="DJ160" s="121">
        <v>5.634183999999999</v>
      </c>
      <c r="DK160" s="121">
        <f>Annually!AN168-DH160-DI160-DJ160</f>
        <v>5.641187</v>
      </c>
      <c r="DL160" s="414">
        <v>5.098445</v>
      </c>
      <c r="DM160" s="121">
        <v>5.579662</v>
      </c>
      <c r="DN160" s="121">
        <v>6.187509</v>
      </c>
      <c r="DO160" s="121">
        <f>Annually!AO168-DL160-DM160-DN160</f>
        <v>5.0742010000000075</v>
      </c>
      <c r="DP160" s="414">
        <v>4.489147</v>
      </c>
      <c r="DQ160" s="121">
        <v>5.559467</v>
      </c>
      <c r="DR160" s="121">
        <v>5.604981</v>
      </c>
      <c r="DS160" s="121">
        <f>Annually!AP168-DP160-DQ160-DR160</f>
        <v>4.723056000000003</v>
      </c>
    </row>
    <row r="161" spans="1:169" s="129" customFormat="1" ht="15">
      <c r="A161" s="100" t="s">
        <v>104</v>
      </c>
      <c r="B161" s="100" t="s">
        <v>93</v>
      </c>
      <c r="C161" s="101"/>
      <c r="D161" s="101"/>
      <c r="E161" s="101"/>
      <c r="F161" s="102"/>
      <c r="G161" s="103"/>
      <c r="H161" s="101"/>
      <c r="I161" s="101"/>
      <c r="J161" s="102"/>
      <c r="K161" s="256"/>
      <c r="L161" s="257"/>
      <c r="M161" s="257"/>
      <c r="N161" s="258"/>
      <c r="O161" s="256"/>
      <c r="P161" s="250"/>
      <c r="Q161" s="250"/>
      <c r="R161" s="250"/>
      <c r="S161" s="256"/>
      <c r="T161" s="257"/>
      <c r="U161" s="257"/>
      <c r="V161" s="257"/>
      <c r="W161" s="256"/>
      <c r="X161" s="257"/>
      <c r="Y161" s="257"/>
      <c r="Z161" s="257"/>
      <c r="AA161" s="256"/>
      <c r="AB161" s="257"/>
      <c r="AC161" s="257"/>
      <c r="AD161" s="257"/>
      <c r="AE161" s="256">
        <v>0.022</v>
      </c>
      <c r="AF161" s="257">
        <v>0.0187</v>
      </c>
      <c r="AG161" s="257">
        <v>0.0121</v>
      </c>
      <c r="AH161" s="257">
        <f>Annually!N169-AG161-AF161-AE161</f>
        <v>0.030700000000000005</v>
      </c>
      <c r="AI161" s="465">
        <v>0.04</v>
      </c>
      <c r="AJ161" s="257">
        <v>0.034499999999999996</v>
      </c>
      <c r="AK161" s="257">
        <v>0.0325</v>
      </c>
      <c r="AL161" s="257">
        <f>Annually!O169-AK161-AJ161-AI161</f>
        <v>0.02559999999999999</v>
      </c>
      <c r="AM161" s="465">
        <v>0</v>
      </c>
      <c r="AN161" s="257">
        <v>0.045604</v>
      </c>
      <c r="AO161" s="257">
        <v>0.03552400000000001</v>
      </c>
      <c r="AP161" s="257">
        <f>Annually!P169-AM161-AN161-AO161</f>
        <v>0.028232</v>
      </c>
      <c r="AQ161" s="465">
        <v>0</v>
      </c>
      <c r="AR161" s="257">
        <v>0.0372</v>
      </c>
      <c r="AS161" s="257">
        <v>0.021392</v>
      </c>
      <c r="AT161" s="257">
        <f>Annually!Q169-AQ161-AR161-AS161</f>
        <v>0.018048000000000015</v>
      </c>
      <c r="AU161" s="465">
        <v>0</v>
      </c>
      <c r="AV161" s="257">
        <v>0.038310140000000006</v>
      </c>
      <c r="AW161" s="257">
        <v>0.0222206</v>
      </c>
      <c r="AX161" s="268">
        <f>Annually!R169-AU161-AV161-AW161</f>
        <v>0.020044629999999987</v>
      </c>
      <c r="AY161" s="256">
        <v>0.0148466149632</v>
      </c>
      <c r="AZ161" s="257">
        <v>0.00242551</v>
      </c>
      <c r="BA161" s="257">
        <v>0.0027494057024</v>
      </c>
      <c r="BB161" s="268">
        <f>Annually!S169-AY161-AZ161-BA161</f>
        <v>0.0011265485119999973</v>
      </c>
      <c r="BC161" s="256">
        <v>0.0007938417216</v>
      </c>
      <c r="BD161" s="257">
        <v>0.0014638610879999998</v>
      </c>
      <c r="BE161" s="257">
        <v>0.0024491941823999996</v>
      </c>
      <c r="BF161" s="268">
        <f>Annually!T169-BC161-BD161-BE161</f>
        <v>0.0018672357119999998</v>
      </c>
      <c r="BG161" s="256">
        <v>0.0012448986592</v>
      </c>
      <c r="BH161" s="257">
        <v>0.00327994</v>
      </c>
      <c r="BI161" s="257">
        <v>0.0031013700000000004</v>
      </c>
      <c r="BJ161" s="268">
        <f>Annually!U169-BG161-BH161-BI161</f>
        <v>0.0011383150368</v>
      </c>
      <c r="BK161" s="535"/>
      <c r="BL161" s="145"/>
      <c r="BM161" s="145"/>
      <c r="BN161" s="145"/>
      <c r="BO161" s="146"/>
      <c r="BP161" s="147"/>
      <c r="BQ161" s="148"/>
      <c r="BR161" s="148"/>
      <c r="BS161" s="149"/>
      <c r="BT161" s="150"/>
      <c r="BU161" s="151"/>
      <c r="BV161" s="151"/>
      <c r="BW161" s="396"/>
      <c r="BX161" s="150"/>
      <c r="BY161" s="151"/>
      <c r="BZ161" s="151"/>
      <c r="CA161" s="397"/>
      <c r="CB161" s="439"/>
      <c r="CC161" s="111"/>
      <c r="CD161" s="111"/>
      <c r="CE161" s="111"/>
      <c r="CF161" s="439"/>
      <c r="CG161" s="111"/>
      <c r="CH161" s="111"/>
      <c r="CI161" s="111"/>
      <c r="CJ161" s="439"/>
      <c r="CK161" s="111"/>
      <c r="CL161" s="111"/>
      <c r="CM161" s="440"/>
      <c r="CN161" s="441"/>
      <c r="CO161" s="111"/>
      <c r="CP161" s="111"/>
      <c r="CQ161" s="111"/>
      <c r="CR161" s="477"/>
      <c r="CS161" s="111"/>
      <c r="CT161" s="111"/>
      <c r="CU161" s="111"/>
      <c r="CV161" s="441"/>
      <c r="CW161" s="111"/>
      <c r="CX161" s="111"/>
      <c r="CY161" s="111"/>
      <c r="CZ161" s="441"/>
      <c r="DA161" s="111"/>
      <c r="DB161" s="111"/>
      <c r="DC161" s="111"/>
      <c r="DD161" s="441"/>
      <c r="DE161" s="111"/>
      <c r="DF161" s="111"/>
      <c r="DG161" s="111"/>
      <c r="DH161" s="441"/>
      <c r="DI161" s="111"/>
      <c r="DJ161" s="111"/>
      <c r="DK161" s="111"/>
      <c r="DL161" s="441"/>
      <c r="DM161" s="111"/>
      <c r="DN161" s="111"/>
      <c r="DO161" s="111"/>
      <c r="DP161" s="441"/>
      <c r="DQ161" s="111"/>
      <c r="DR161" s="111"/>
      <c r="DS161" s="111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</row>
    <row r="162" spans="1:123" ht="15.75">
      <c r="A162" s="116" t="s">
        <v>86</v>
      </c>
      <c r="B162" s="117" t="s">
        <v>87</v>
      </c>
      <c r="C162" s="118">
        <v>1.6620001</v>
      </c>
      <c r="D162" s="118">
        <v>1.4129999000000002</v>
      </c>
      <c r="E162" s="118">
        <v>1.4473019000000011</v>
      </c>
      <c r="F162" s="119">
        <v>1.3794600999999984</v>
      </c>
      <c r="G162" s="120">
        <v>1.7</v>
      </c>
      <c r="H162" s="118">
        <v>1.4162500999999998</v>
      </c>
      <c r="I162" s="118">
        <v>1.7837499000000003</v>
      </c>
      <c r="J162" s="119">
        <f>Annually!H170-SUM(G162:I162)</f>
        <v>1.7779162</v>
      </c>
      <c r="K162" s="259">
        <v>1.8</v>
      </c>
      <c r="L162" s="252">
        <v>1.7151300999999999</v>
      </c>
      <c r="M162" s="252">
        <v>1.7567342</v>
      </c>
      <c r="N162" s="260">
        <f>Annually!I170-Quarterly!M162-L162-K162</f>
        <v>1.9578361999999998</v>
      </c>
      <c r="O162" s="259">
        <v>1.9362301</v>
      </c>
      <c r="P162" s="251">
        <f>3.460284-O162</f>
        <v>1.5240539000000002</v>
      </c>
      <c r="Q162" s="251">
        <v>1.8397159999999997</v>
      </c>
      <c r="R162" s="251">
        <f>-Q162-P162-O162+Annually!J170</f>
        <v>1.7003441000000006</v>
      </c>
      <c r="S162" s="259">
        <v>1.7</v>
      </c>
      <c r="T162" s="252">
        <v>1.4000000000000001</v>
      </c>
      <c r="U162" s="252">
        <v>1.7231239999999997</v>
      </c>
      <c r="V162" s="252">
        <v>1.7126910999999998</v>
      </c>
      <c r="W162" s="259">
        <v>1.6138019</v>
      </c>
      <c r="X162" s="257">
        <v>1.4442781</v>
      </c>
      <c r="Y162" s="257">
        <v>1.8419200000000004</v>
      </c>
      <c r="Z162" s="252">
        <f>Annually!L170-Y162-X162-W162</f>
        <v>1.6999999999999997</v>
      </c>
      <c r="AA162" s="259">
        <v>1.3478819</v>
      </c>
      <c r="AB162" s="257">
        <v>1.3196280000000002</v>
      </c>
      <c r="AC162" s="257">
        <v>1.4359680999999997</v>
      </c>
      <c r="AD162" s="257">
        <f>Annually!M170-AC162-AB162-AA162</f>
        <v>1.7423433000000004</v>
      </c>
      <c r="AE162" s="259">
        <v>1.5390124</v>
      </c>
      <c r="AF162" s="257">
        <v>1.3787952</v>
      </c>
      <c r="AG162" s="257">
        <v>1.7476296000000004</v>
      </c>
      <c r="AH162" s="257">
        <f>Annually!N170-AG162-AF162-AE162</f>
        <v>1.657808599999999</v>
      </c>
      <c r="AI162" s="275">
        <v>1.4392921</v>
      </c>
      <c r="AJ162" s="252">
        <v>1.1607079</v>
      </c>
      <c r="AK162" s="252">
        <v>1.8292301000000004</v>
      </c>
      <c r="AL162" s="257">
        <f>Annually!O170-AK162-AJ162-AI162</f>
        <v>1.8547918000000003</v>
      </c>
      <c r="AM162" s="275">
        <v>1.6636617</v>
      </c>
      <c r="AN162" s="252">
        <v>1.7002259999999998</v>
      </c>
      <c r="AO162" s="252">
        <v>1.9711321000000006</v>
      </c>
      <c r="AP162" s="252">
        <f>Annually!P170-AM162-AN162-AO162</f>
        <v>2.1473040000000005</v>
      </c>
      <c r="AQ162" s="275">
        <v>1.8847078000000002</v>
      </c>
      <c r="AR162" s="252">
        <v>1.7116699</v>
      </c>
      <c r="AS162" s="252">
        <v>1.8317137000000003</v>
      </c>
      <c r="AT162" s="252">
        <f>Annually!Q170-AQ162-AR162-AS162</f>
        <v>1.7268179999999997</v>
      </c>
      <c r="AU162" s="275">
        <v>1.6320838</v>
      </c>
      <c r="AV162" s="252">
        <v>1.8016078</v>
      </c>
      <c r="AW162" s="252">
        <v>1.6470421000000004</v>
      </c>
      <c r="AX162" s="267">
        <f>Annually!R170-AU162-AV162-AW162</f>
        <v>1.7101974</v>
      </c>
      <c r="AY162" s="259">
        <v>1.52904</v>
      </c>
      <c r="AZ162" s="252">
        <v>1.62045</v>
      </c>
      <c r="BA162" s="252">
        <v>1.7417759</v>
      </c>
      <c r="BB162" s="267">
        <f>Annually!S170-AY162-AZ162-BA162</f>
        <v>1.741776000000001</v>
      </c>
      <c r="BC162" s="259">
        <v>1.4525878</v>
      </c>
      <c r="BD162" s="252">
        <v>1.209936</v>
      </c>
      <c r="BE162" s="252">
        <v>1.8198900000000007</v>
      </c>
      <c r="BF162" s="267">
        <f>Annually!T170-BC162-BD162-BE162</f>
        <v>1.8514677999999993</v>
      </c>
      <c r="BG162" s="259">
        <v>1.6836060000000002</v>
      </c>
      <c r="BH162" s="252">
        <v>1.5439979</v>
      </c>
      <c r="BI162" s="252">
        <v>1.3960799999999995</v>
      </c>
      <c r="BJ162" s="267">
        <f>Annually!U170-BG162-BH162-BI162</f>
        <v>1.6985639000000008</v>
      </c>
      <c r="BK162" s="523"/>
      <c r="BL162" s="158">
        <v>1.6876481</v>
      </c>
      <c r="BM162" s="158">
        <v>1.4474249000000001</v>
      </c>
      <c r="BN162" s="158">
        <v>1.3445641999999998</v>
      </c>
      <c r="BO162" s="159">
        <v>1.4295593000000002</v>
      </c>
      <c r="BP162" s="160">
        <v>1.8</v>
      </c>
      <c r="BQ162" s="161">
        <v>1.2752860000000001</v>
      </c>
      <c r="BR162" s="161">
        <v>1.9247139999999996</v>
      </c>
      <c r="BS162" s="162">
        <f>Annually!AC170-SUM(Quarterly!BP162:BR162)</f>
        <v>1.7000000000000002</v>
      </c>
      <c r="BT162" s="163">
        <v>1.9</v>
      </c>
      <c r="BU162" s="161">
        <v>1.6</v>
      </c>
      <c r="BV162" s="164">
        <v>1.7999999999999998</v>
      </c>
      <c r="BW162" s="165">
        <f>Annually!AD170-Quarterly!BV162-Quarterly!BU162-Quarterly!BT162</f>
        <v>1.9590000000000005</v>
      </c>
      <c r="BX162" s="163">
        <v>1.9</v>
      </c>
      <c r="BY162" s="164">
        <f>3.4523148-BX162</f>
        <v>1.5523148</v>
      </c>
      <c r="BZ162" s="164">
        <v>1.8476852</v>
      </c>
      <c r="CA162" s="165">
        <f>-BZ162-BY162-BX162+Annually!AE170</f>
        <v>1.6942961800000003</v>
      </c>
      <c r="CB162" s="263">
        <v>1.6</v>
      </c>
      <c r="CC162" s="121">
        <v>1.5</v>
      </c>
      <c r="CD162" s="121">
        <v>1.71832496</v>
      </c>
      <c r="CE162" s="121">
        <v>1.6260670400000006</v>
      </c>
      <c r="CF162" s="263">
        <v>1.6776091</v>
      </c>
      <c r="CG162" s="121">
        <v>1.4627114000000006</v>
      </c>
      <c r="CH162" s="121">
        <v>1.8596794999999993</v>
      </c>
      <c r="CI162" s="121">
        <f>Annually!AG170-CH162-CG162-CF162</f>
        <v>1.7</v>
      </c>
      <c r="CJ162" s="263">
        <v>1.3359896</v>
      </c>
      <c r="CK162" s="121">
        <v>1.2907206999999996</v>
      </c>
      <c r="CL162" s="121">
        <v>1.4604850000000007</v>
      </c>
      <c r="CM162" s="410">
        <f>Annually!AH170-CL162-CK162-CJ162</f>
        <v>1.669677099999999</v>
      </c>
      <c r="CN162" s="414">
        <v>1.5564244</v>
      </c>
      <c r="CO162" s="121">
        <v>1.4124632999999998</v>
      </c>
      <c r="CP162" s="121">
        <v>1.7499869000000006</v>
      </c>
      <c r="CQ162" s="121">
        <f>Annually!AI170-CP162-CO162-CN162</f>
        <v>1.6351772999999996</v>
      </c>
      <c r="CR162" s="479">
        <v>1.4352387</v>
      </c>
      <c r="CS162" s="121">
        <v>1.1619716999999998</v>
      </c>
      <c r="CT162" s="121">
        <v>1.8109913000000006</v>
      </c>
      <c r="CU162" s="121">
        <f>Annually!AJ170-CT162-CS162-CR162</f>
        <v>1.8314432</v>
      </c>
      <c r="CV162" s="414">
        <v>1.6514354</v>
      </c>
      <c r="CW162" s="121">
        <v>1.7284039999999998</v>
      </c>
      <c r="CX162" s="121">
        <v>1.9330161000000006</v>
      </c>
      <c r="CY162" s="121">
        <f>Annually!AK170-CV162-CW162-CX162</f>
        <v>2.1753273999999996</v>
      </c>
      <c r="CZ162" s="414">
        <v>1.9132466</v>
      </c>
      <c r="DA162" s="121">
        <v>1.6573878000000004</v>
      </c>
      <c r="DB162" s="121">
        <v>1.8541862999999994</v>
      </c>
      <c r="DC162" s="121">
        <f>Annually!AL170-CZ162-DA162-DB162</f>
        <v>1.6555466</v>
      </c>
      <c r="DD162" s="414">
        <v>1.6908454000000002</v>
      </c>
      <c r="DE162" s="121">
        <v>1.7222466</v>
      </c>
      <c r="DF162" s="121">
        <v>1.7455148</v>
      </c>
      <c r="DG162" s="121">
        <f>Annually!AM170-DD162-DE162-DF162</f>
        <v>1.6925119999999994</v>
      </c>
      <c r="DH162" s="414">
        <v>1.5219648000000001</v>
      </c>
      <c r="DI162" s="121">
        <v>1.6213354</v>
      </c>
      <c r="DJ162" s="121">
        <v>1.887141</v>
      </c>
      <c r="DK162" s="121">
        <f>Annually!AN170-DH162-DI162-DJ162</f>
        <v>1.5663224</v>
      </c>
      <c r="DL162" s="414">
        <v>1.4603351</v>
      </c>
      <c r="DM162" s="121">
        <v>1.2264212</v>
      </c>
      <c r="DN162" s="121">
        <v>1.8096221</v>
      </c>
      <c r="DO162" s="121">
        <f>Annually!AO170-DL162-DM162-DN162</f>
        <v>1.8361838999999995</v>
      </c>
      <c r="DP162" s="414">
        <v>1.6785948</v>
      </c>
      <c r="DQ162" s="121">
        <v>1.5350747999999999</v>
      </c>
      <c r="DR162" s="121">
        <v>1.4113562000000002</v>
      </c>
      <c r="DS162" s="121">
        <f>Annually!AP170-DP162-DQ162-DR162</f>
        <v>1.698551399999999</v>
      </c>
    </row>
    <row r="163" spans="1:169" s="129" customFormat="1" ht="15" customHeight="1">
      <c r="A163" s="100" t="s">
        <v>104</v>
      </c>
      <c r="B163" s="100" t="s">
        <v>93</v>
      </c>
      <c r="C163" s="101">
        <v>0.0008299</v>
      </c>
      <c r="D163" s="101">
        <v>0.0022151000000000002</v>
      </c>
      <c r="E163" s="101">
        <v>0.0008108</v>
      </c>
      <c r="F163" s="102">
        <v>0.0012772000000000005</v>
      </c>
      <c r="G163" s="103">
        <v>0.0007805</v>
      </c>
      <c r="H163" s="101"/>
      <c r="I163" s="101"/>
      <c r="J163" s="536"/>
      <c r="K163" s="537"/>
      <c r="L163" s="257">
        <f>BV163-K163</f>
        <v>0</v>
      </c>
      <c r="M163" s="257"/>
      <c r="N163" s="258"/>
      <c r="O163" s="256">
        <v>0.0020638</v>
      </c>
      <c r="P163" s="250"/>
      <c r="Q163" s="250"/>
      <c r="R163" s="538"/>
      <c r="S163" s="256">
        <v>0.0020638</v>
      </c>
      <c r="T163" s="257">
        <v>0.00028419999999999964</v>
      </c>
      <c r="U163" s="257">
        <v>0.0009436000000000002</v>
      </c>
      <c r="V163" s="257">
        <v>0.0013079000000000003</v>
      </c>
      <c r="W163" s="256">
        <v>0.0011637</v>
      </c>
      <c r="X163" s="257">
        <v>0.0012873000000000001</v>
      </c>
      <c r="Y163" s="257">
        <v>0</v>
      </c>
      <c r="Z163" s="257">
        <f>Annually!L171-Y163-X163-W163</f>
        <v>0.002549</v>
      </c>
      <c r="AA163" s="256">
        <v>0.0034444</v>
      </c>
      <c r="AB163" s="257">
        <v>0.0065704000000000005</v>
      </c>
      <c r="AC163" s="257">
        <v>0.0080239</v>
      </c>
      <c r="AD163" s="257">
        <f>Annually!M171-AC163-AB163-AA163</f>
        <v>0.006612736999999997</v>
      </c>
      <c r="AE163" s="256">
        <v>0.0064482</v>
      </c>
      <c r="AF163" s="257">
        <v>0.0051392999999999986</v>
      </c>
      <c r="AG163" s="257">
        <v>0.0033462000000000014</v>
      </c>
      <c r="AH163" s="257">
        <f>Annually!N171-AG163-AF163-AE163</f>
        <v>0.004366599999999999</v>
      </c>
      <c r="AI163" s="465">
        <v>0.0040018</v>
      </c>
      <c r="AJ163" s="257">
        <v>0.0013557999999999999</v>
      </c>
      <c r="AK163" s="257">
        <v>0.005673199999999996</v>
      </c>
      <c r="AL163" s="257">
        <f>Annually!O171-AK163-AJ163-AI163</f>
        <v>0.0014691000000000036</v>
      </c>
      <c r="AM163" s="465">
        <v>0.0017671</v>
      </c>
      <c r="AN163" s="257">
        <v>0.0021645000000000006</v>
      </c>
      <c r="AO163" s="257">
        <v>0.0038415999999999997</v>
      </c>
      <c r="AP163" s="257">
        <f>Annually!P171-AM163-AN163-AO163</f>
        <v>0.002812799999999999</v>
      </c>
      <c r="AQ163" s="465">
        <v>0.0028081</v>
      </c>
      <c r="AR163" s="257">
        <v>0.0037140999999999997</v>
      </c>
      <c r="AS163" s="257">
        <v>0.003531500000000001</v>
      </c>
      <c r="AT163" s="257">
        <f>Annually!Q171-AQ163-AR163-AS163</f>
        <v>0.0040042</v>
      </c>
      <c r="AU163" s="465">
        <v>0.0048033</v>
      </c>
      <c r="AV163" s="257">
        <v>0.004687200000000001</v>
      </c>
      <c r="AW163" s="257">
        <v>0.006192699999999997</v>
      </c>
      <c r="AX163" s="268">
        <f>Annually!R171-AU163-AV163-AW163</f>
        <v>0.005012700000000002</v>
      </c>
      <c r="AY163" s="256">
        <v>0.0046119</v>
      </c>
      <c r="AZ163" s="257">
        <v>0.0043278</v>
      </c>
      <c r="BA163" s="257">
        <v>0.0049226</v>
      </c>
      <c r="BB163" s="268">
        <f>Annually!S171-AY163-AZ163-BA163</f>
        <v>0.003989999999999998</v>
      </c>
      <c r="BC163" s="256">
        <v>0.0039534999999999995</v>
      </c>
      <c r="BD163" s="257">
        <v>0.0045693</v>
      </c>
      <c r="BE163" s="257">
        <v>0.0039621000000000005</v>
      </c>
      <c r="BF163" s="268">
        <f>Annually!T171-BC163-BD163-BE163</f>
        <v>0.004228</v>
      </c>
      <c r="BG163" s="256">
        <v>0.0034526</v>
      </c>
      <c r="BH163" s="257">
        <v>0.0033886000000000003</v>
      </c>
      <c r="BI163" s="257">
        <v>0.0036017999999999988</v>
      </c>
      <c r="BJ163" s="268">
        <f>Annually!U171-BG163-BH163-BI163</f>
        <v>0.0035009000000000012</v>
      </c>
      <c r="BK163" s="535"/>
      <c r="BL163" s="539">
        <v>0</v>
      </c>
      <c r="BM163" s="539">
        <v>0</v>
      </c>
      <c r="BN163" s="539">
        <v>0</v>
      </c>
      <c r="BO163" s="540">
        <v>0</v>
      </c>
      <c r="BP163" s="541"/>
      <c r="BQ163" s="542"/>
      <c r="BR163" s="148">
        <v>0</v>
      </c>
      <c r="BS163" s="149">
        <f>Annually!AC172-SUM(Quarterly!BP163:BR163)</f>
        <v>0</v>
      </c>
      <c r="BT163" s="543"/>
      <c r="BU163" s="148">
        <f>BV163-BT163</f>
        <v>0</v>
      </c>
      <c r="BV163" s="544"/>
      <c r="BW163" s="545"/>
      <c r="BX163" s="543"/>
      <c r="BY163" s="542"/>
      <c r="BZ163" s="436">
        <v>0</v>
      </c>
      <c r="CA163" s="546">
        <v>0</v>
      </c>
      <c r="CB163" s="543"/>
      <c r="CC163" s="542"/>
      <c r="CD163" s="111"/>
      <c r="CE163" s="111"/>
      <c r="CF163" s="543"/>
      <c r="CG163" s="542"/>
      <c r="CH163" s="542"/>
      <c r="CI163" s="111"/>
      <c r="CJ163" s="543"/>
      <c r="CK163" s="542"/>
      <c r="CL163" s="542"/>
      <c r="CM163" s="547"/>
      <c r="CN163" s="543"/>
      <c r="CO163" s="542"/>
      <c r="CP163" s="542"/>
      <c r="CQ163" s="542"/>
      <c r="CR163" s="548"/>
      <c r="CS163" s="542"/>
      <c r="CT163" s="542"/>
      <c r="CU163" s="542"/>
      <c r="CV163" s="543"/>
      <c r="CW163" s="542"/>
      <c r="CX163" s="542"/>
      <c r="CY163" s="542"/>
      <c r="CZ163" s="543"/>
      <c r="DA163" s="542"/>
      <c r="DB163" s="542"/>
      <c r="DC163" s="542"/>
      <c r="DD163" s="543"/>
      <c r="DE163" s="542"/>
      <c r="DF163" s="542"/>
      <c r="DG163" s="542"/>
      <c r="DH163" s="441"/>
      <c r="DI163" s="542"/>
      <c r="DJ163" s="542"/>
      <c r="DK163" s="542"/>
      <c r="DL163" s="441"/>
      <c r="DM163" s="542"/>
      <c r="DN163" s="111"/>
      <c r="DO163" s="542"/>
      <c r="DP163" s="441"/>
      <c r="DQ163" s="542"/>
      <c r="DR163" s="542"/>
      <c r="DS163" s="542"/>
      <c r="DT163" s="156"/>
      <c r="DU163" s="156"/>
      <c r="DV163" s="156"/>
      <c r="DW163" s="156"/>
      <c r="DX163" s="156"/>
      <c r="DY163" s="156"/>
      <c r="DZ163" s="156"/>
      <c r="EA163" s="156"/>
      <c r="EB163" s="156"/>
      <c r="EC163" s="156"/>
      <c r="ED163" s="156"/>
      <c r="EE163" s="156"/>
      <c r="EF163" s="156"/>
      <c r="EG163" s="156"/>
      <c r="EH163" s="156"/>
      <c r="EI163" s="156"/>
      <c r="EJ163" s="156"/>
      <c r="EK163" s="156"/>
      <c r="EL163" s="156"/>
      <c r="EM163" s="156"/>
      <c r="EN163" s="156"/>
      <c r="EO163" s="156"/>
      <c r="EP163" s="156"/>
      <c r="EQ163" s="156"/>
      <c r="ER163" s="156"/>
      <c r="ES163" s="156"/>
      <c r="ET163" s="156"/>
      <c r="EU163" s="156"/>
      <c r="EV163" s="156"/>
      <c r="EW163" s="156"/>
      <c r="EX163" s="156"/>
      <c r="EY163" s="156"/>
      <c r="EZ163" s="156"/>
      <c r="FA163" s="156"/>
      <c r="FB163" s="156"/>
      <c r="FC163" s="156"/>
      <c r="FD163" s="156"/>
      <c r="FE163" s="156"/>
      <c r="FF163" s="156"/>
      <c r="FG163" s="156"/>
      <c r="FH163" s="156"/>
      <c r="FI163" s="156"/>
      <c r="FJ163" s="156"/>
      <c r="FK163" s="156"/>
      <c r="FL163" s="156"/>
      <c r="FM163" s="156"/>
    </row>
    <row r="164" spans="1:123" ht="15" customHeight="1">
      <c r="A164" s="116" t="s">
        <v>88</v>
      </c>
      <c r="B164" s="117" t="s">
        <v>89</v>
      </c>
      <c r="C164" s="118"/>
      <c r="D164" s="118"/>
      <c r="E164" s="118"/>
      <c r="F164" s="119"/>
      <c r="G164" s="120"/>
      <c r="H164" s="118"/>
      <c r="I164" s="118"/>
      <c r="J164" s="316"/>
      <c r="K164" s="317"/>
      <c r="L164" s="254">
        <f>BV164-K164</f>
        <v>0</v>
      </c>
      <c r="M164" s="254"/>
      <c r="N164" s="255"/>
      <c r="O164" s="253"/>
      <c r="P164" s="249"/>
      <c r="Q164" s="249"/>
      <c r="R164" s="315"/>
      <c r="S164" s="253"/>
      <c r="T164" s="254"/>
      <c r="U164" s="254"/>
      <c r="V164" s="254"/>
      <c r="W164" s="253"/>
      <c r="X164" s="254"/>
      <c r="Y164" s="254"/>
      <c r="Z164" s="254"/>
      <c r="AA164" s="253"/>
      <c r="AB164" s="254"/>
      <c r="AC164" s="254"/>
      <c r="AD164" s="254"/>
      <c r="AE164" s="253"/>
      <c r="AF164" s="254"/>
      <c r="AG164" s="254"/>
      <c r="AH164" s="254"/>
      <c r="AI164" s="464"/>
      <c r="AJ164" s="254"/>
      <c r="AK164" s="254"/>
      <c r="AL164" s="254"/>
      <c r="AM164" s="464"/>
      <c r="AN164" s="254"/>
      <c r="AO164" s="254"/>
      <c r="AP164" s="254"/>
      <c r="AQ164" s="464"/>
      <c r="AR164" s="254"/>
      <c r="AS164" s="254"/>
      <c r="AT164" s="254"/>
      <c r="AU164" s="464"/>
      <c r="AV164" s="254"/>
      <c r="AW164" s="254"/>
      <c r="AX164" s="269"/>
      <c r="AY164" s="253"/>
      <c r="AZ164" s="254"/>
      <c r="BA164" s="254"/>
      <c r="BB164" s="269"/>
      <c r="BC164" s="253"/>
      <c r="BD164" s="254"/>
      <c r="BE164" s="254"/>
      <c r="BF164" s="269"/>
      <c r="BG164" s="253"/>
      <c r="BH164" s="254"/>
      <c r="BI164" s="254"/>
      <c r="BJ164" s="254"/>
      <c r="BK164" s="523"/>
      <c r="BL164" s="318"/>
      <c r="BM164" s="318"/>
      <c r="BN164" s="318"/>
      <c r="BO164" s="322"/>
      <c r="BP164" s="171"/>
      <c r="BQ164" s="321"/>
      <c r="BR164" s="161">
        <v>0</v>
      </c>
      <c r="BS164" s="162">
        <f>Annually!AC173-SUM(Quarterly!BP164:BR164)</f>
        <v>3200</v>
      </c>
      <c r="BT164" s="323"/>
      <c r="BU164" s="161">
        <f>BV164-BT164</f>
        <v>0</v>
      </c>
      <c r="BV164" s="320"/>
      <c r="BW164" s="324"/>
      <c r="BX164" s="323"/>
      <c r="BY164" s="321"/>
      <c r="BZ164" s="319">
        <v>0</v>
      </c>
      <c r="CA164" s="325">
        <v>0</v>
      </c>
      <c r="CB164" s="323"/>
      <c r="CC164" s="321"/>
      <c r="CD164" s="121"/>
      <c r="CE164" s="121"/>
      <c r="CF164" s="323"/>
      <c r="CG164" s="321"/>
      <c r="CH164" s="321"/>
      <c r="CI164" s="121"/>
      <c r="CJ164" s="323"/>
      <c r="CK164" s="321"/>
      <c r="CL164" s="321"/>
      <c r="CM164" s="411"/>
      <c r="CN164" s="323"/>
      <c r="CO164" s="321"/>
      <c r="CP164" s="321"/>
      <c r="CQ164" s="321"/>
      <c r="CR164" s="480"/>
      <c r="CS164" s="321"/>
      <c r="CT164" s="321"/>
      <c r="CU164" s="321"/>
      <c r="CV164" s="323"/>
      <c r="CW164" s="321"/>
      <c r="CX164" s="321"/>
      <c r="CY164" s="321"/>
      <c r="CZ164" s="323"/>
      <c r="DA164" s="321"/>
      <c r="DB164" s="321"/>
      <c r="DC164" s="321"/>
      <c r="DD164" s="323"/>
      <c r="DE164" s="321"/>
      <c r="DF164" s="321"/>
      <c r="DG164" s="321"/>
      <c r="DH164" s="414"/>
      <c r="DI164" s="321"/>
      <c r="DJ164" s="321"/>
      <c r="DK164" s="321"/>
      <c r="DL164" s="414"/>
      <c r="DM164" s="321"/>
      <c r="DN164" s="121"/>
      <c r="DO164" s="321"/>
      <c r="DP164" s="414"/>
      <c r="DQ164" s="321"/>
      <c r="DR164" s="321"/>
      <c r="DS164" s="321"/>
    </row>
    <row r="165" spans="1:123" ht="15.75">
      <c r="A165" s="98" t="s">
        <v>113</v>
      </c>
      <c r="B165" s="98" t="s">
        <v>112</v>
      </c>
      <c r="C165" s="71">
        <f aca="true" t="shared" si="547" ref="C165:J165">C124+C126+C138+C144+C154-C125-C127-C139-C145</f>
        <v>761.7629591</v>
      </c>
      <c r="D165" s="71">
        <f t="shared" si="547"/>
        <v>703.7753978999999</v>
      </c>
      <c r="E165" s="71">
        <f t="shared" si="547"/>
        <v>720.0127408999998</v>
      </c>
      <c r="F165" s="72">
        <f t="shared" si="547"/>
        <v>830.3262031000002</v>
      </c>
      <c r="G165" s="73">
        <f t="shared" si="547"/>
        <v>781.2000000000002</v>
      </c>
      <c r="H165" s="71">
        <f t="shared" si="547"/>
        <v>848.1063921</v>
      </c>
      <c r="I165" s="71">
        <f t="shared" si="547"/>
        <v>776.9936078999998</v>
      </c>
      <c r="J165" s="72">
        <f t="shared" si="547"/>
        <v>843.2570831999999</v>
      </c>
      <c r="K165" s="249">
        <f aca="true" t="shared" si="548" ref="K165:AD165">K124+K126+K138+K144+K154-K163-K125-K127-K139-K145</f>
        <v>814.49989</v>
      </c>
      <c r="L165" s="249">
        <f t="shared" si="548"/>
        <v>800.5537310999998</v>
      </c>
      <c r="M165" s="249">
        <f t="shared" si="548"/>
        <v>769.4152231999998</v>
      </c>
      <c r="N165" s="265">
        <f t="shared" si="548"/>
        <v>893.5386112000001</v>
      </c>
      <c r="O165" s="270">
        <f t="shared" si="548"/>
        <v>895.8633117999998</v>
      </c>
      <c r="P165" s="249">
        <f t="shared" si="548"/>
        <v>846.9135499</v>
      </c>
      <c r="Q165" s="249">
        <f t="shared" si="548"/>
        <v>881.1759259999999</v>
      </c>
      <c r="R165" s="265">
        <f t="shared" si="548"/>
        <v>807.3102570999997</v>
      </c>
      <c r="S165" s="253">
        <f t="shared" si="548"/>
        <v>870.2979361999999</v>
      </c>
      <c r="T165" s="254">
        <f t="shared" si="548"/>
        <v>865.0586408000003</v>
      </c>
      <c r="U165" s="254">
        <f t="shared" si="548"/>
        <v>896.9739099000001</v>
      </c>
      <c r="V165" s="254">
        <f t="shared" si="548"/>
        <v>925.7623707</v>
      </c>
      <c r="W165" s="253">
        <f t="shared" si="548"/>
        <v>927.0211026999999</v>
      </c>
      <c r="X165" s="254">
        <f t="shared" si="548"/>
        <v>926.2878663000001</v>
      </c>
      <c r="Y165" s="254">
        <f t="shared" si="548"/>
        <v>951.3885800000002</v>
      </c>
      <c r="Z165" s="254">
        <f t="shared" si="548"/>
        <v>933.6974510000001</v>
      </c>
      <c r="AA165" s="253">
        <f t="shared" si="548"/>
        <v>903.1613474999999</v>
      </c>
      <c r="AB165" s="254">
        <f t="shared" si="548"/>
        <v>821.5404965999999</v>
      </c>
      <c r="AC165" s="254">
        <f t="shared" si="548"/>
        <v>828.4042222</v>
      </c>
      <c r="AD165" s="254">
        <f t="shared" si="548"/>
        <v>962.7966565629965</v>
      </c>
      <c r="AE165" s="253">
        <f aca="true" t="shared" si="549" ref="AE165:BE165">AE124+AE126+AE138+AE144+AE154-AE155-AE125-AE127-AE139-AE145</f>
        <v>960.9407292000001</v>
      </c>
      <c r="AF165" s="254">
        <f t="shared" si="549"/>
        <v>966.0652019000003</v>
      </c>
      <c r="AG165" s="254">
        <f t="shared" si="549"/>
        <v>1123.1410793999996</v>
      </c>
      <c r="AH165" s="254">
        <f t="shared" si="549"/>
        <v>1272.4220170000003</v>
      </c>
      <c r="AI165" s="464">
        <f t="shared" si="549"/>
        <v>1247.3875673000005</v>
      </c>
      <c r="AJ165" s="254">
        <f t="shared" si="549"/>
        <v>1190.3576431</v>
      </c>
      <c r="AK165" s="254">
        <f t="shared" si="549"/>
        <v>1224.3905368999997</v>
      </c>
      <c r="AL165" s="254">
        <f t="shared" si="549"/>
        <v>1315.9326967000002</v>
      </c>
      <c r="AM165" s="464">
        <f t="shared" si="549"/>
        <v>1323.3372596000002</v>
      </c>
      <c r="AN165" s="254">
        <f t="shared" si="549"/>
        <v>1270.3235284999996</v>
      </c>
      <c r="AO165" s="254">
        <f t="shared" si="549"/>
        <v>1305.2774089999998</v>
      </c>
      <c r="AP165" s="254">
        <f t="shared" si="549"/>
        <v>1342.2454427000002</v>
      </c>
      <c r="AQ165" s="464">
        <f t="shared" si="549"/>
        <v>1391.9542657000002</v>
      </c>
      <c r="AR165" s="254">
        <f t="shared" si="549"/>
        <v>1337.4181698000007</v>
      </c>
      <c r="AS165" s="254">
        <f t="shared" si="549"/>
        <v>1399.6368172</v>
      </c>
      <c r="AT165" s="254">
        <f t="shared" si="549"/>
        <v>1438.9740837999998</v>
      </c>
      <c r="AU165" s="464">
        <f t="shared" si="549"/>
        <v>1353.1476192599998</v>
      </c>
      <c r="AV165" s="254">
        <f t="shared" si="549"/>
        <v>1395.06004484</v>
      </c>
      <c r="AW165" s="254">
        <f t="shared" si="549"/>
        <v>1403.6670354</v>
      </c>
      <c r="AX165" s="269">
        <f t="shared" si="549"/>
        <v>1362.4543202</v>
      </c>
      <c r="AY165" s="253">
        <f t="shared" si="549"/>
        <v>1411.895754103696</v>
      </c>
      <c r="AZ165" s="254">
        <f t="shared" si="549"/>
        <v>1509.1582472</v>
      </c>
      <c r="BA165" s="254">
        <f t="shared" si="549"/>
        <v>1530.7375312972872</v>
      </c>
      <c r="BB165" s="269">
        <f t="shared" si="549"/>
        <v>1555.7552719990179</v>
      </c>
      <c r="BC165" s="253">
        <f t="shared" si="549"/>
        <v>1499.2105613</v>
      </c>
      <c r="BD165" s="254">
        <f t="shared" si="549"/>
        <v>1317.5947487042235</v>
      </c>
      <c r="BE165" s="254">
        <f t="shared" si="549"/>
        <v>1531.280530891626</v>
      </c>
      <c r="BF165" s="269">
        <f>BF124+BF126+BF138+BF144+BF154-BF155-BF125-BF127-BF139-BF145</f>
        <v>1623.7548838081213</v>
      </c>
      <c r="BG165" s="253">
        <f>BG124+BG126+BG138+BG144+BG154-BG155-BG125-BG127-BG139-BG145</f>
        <v>1543.5643043999999</v>
      </c>
      <c r="BH165" s="254">
        <f>BH124+BH126+BH138+BH144+BH154-BH155-BH125-BH127-BH139-BH145</f>
        <v>1515.4394319699995</v>
      </c>
      <c r="BI165" s="254">
        <f>BI124+BI126+BI138+BI144+BI154-BI155-BI125-BI127-BI139-BI145</f>
        <v>1364.9932892000002</v>
      </c>
      <c r="BJ165" s="254">
        <f>BJ124+BJ126+BJ138+BJ144+BJ154-BJ155-BJ125-BJ127-BJ139-BJ145</f>
        <v>1482.5201439957032</v>
      </c>
      <c r="BK165" s="523"/>
      <c r="BL165" s="292">
        <f aca="true" t="shared" si="550" ref="BL165:CQ165">BL124+BL126+BL138+BL144+BL154-BL125-BL127-BL139-BL145</f>
        <v>790.5143681</v>
      </c>
      <c r="BM165" s="292">
        <f t="shared" si="550"/>
        <v>740.4102079000002</v>
      </c>
      <c r="BN165" s="292">
        <f t="shared" si="550"/>
        <v>692.4388457</v>
      </c>
      <c r="BO165" s="326">
        <f t="shared" si="550"/>
        <v>828.3819067999998</v>
      </c>
      <c r="BP165" s="327">
        <f t="shared" si="550"/>
        <v>736.6000000000001</v>
      </c>
      <c r="BQ165" s="292">
        <f t="shared" si="550"/>
        <v>843.198922</v>
      </c>
      <c r="BR165" s="292">
        <f t="shared" si="550"/>
        <v>780.6010779999999</v>
      </c>
      <c r="BS165" s="326">
        <f t="shared" si="550"/>
        <v>839.6000000000001</v>
      </c>
      <c r="BT165" s="327">
        <f t="shared" si="550"/>
        <v>787.7637199999999</v>
      </c>
      <c r="BU165" s="292">
        <f t="shared" si="550"/>
        <v>824.8003505</v>
      </c>
      <c r="BV165" s="292">
        <f t="shared" si="550"/>
        <v>765.6519295</v>
      </c>
      <c r="BW165" s="326">
        <f t="shared" si="550"/>
        <v>908.424</v>
      </c>
      <c r="BX165" s="327">
        <f t="shared" si="550"/>
        <v>887.7</v>
      </c>
      <c r="BY165" s="292">
        <f t="shared" si="550"/>
        <v>846.6627218</v>
      </c>
      <c r="BZ165" s="292">
        <f t="shared" si="550"/>
        <v>869.6372782000002</v>
      </c>
      <c r="CA165" s="326">
        <f t="shared" si="550"/>
        <v>798.9533916799999</v>
      </c>
      <c r="CB165" s="305">
        <f t="shared" si="550"/>
        <v>862.3000000000001</v>
      </c>
      <c r="CC165" s="303">
        <f t="shared" si="550"/>
        <v>852.7025229999999</v>
      </c>
      <c r="CD165" s="303">
        <f t="shared" si="550"/>
        <v>919.9387294600002</v>
      </c>
      <c r="CE165" s="303">
        <f t="shared" si="550"/>
        <v>912.9967145399999</v>
      </c>
      <c r="CF165" s="305">
        <f t="shared" si="550"/>
        <v>938.4686650999998</v>
      </c>
      <c r="CG165" s="303">
        <f t="shared" si="550"/>
        <v>918.9095789</v>
      </c>
      <c r="CH165" s="303">
        <f t="shared" si="550"/>
        <v>945.6217560000001</v>
      </c>
      <c r="CI165" s="303">
        <f t="shared" si="550"/>
        <v>949.1999999999999</v>
      </c>
      <c r="CJ165" s="305">
        <f t="shared" si="550"/>
        <v>922.1388021</v>
      </c>
      <c r="CK165" s="303">
        <f t="shared" si="550"/>
        <v>790.5778971999996</v>
      </c>
      <c r="CL165" s="303">
        <f t="shared" si="550"/>
        <v>850.4837315000003</v>
      </c>
      <c r="CM165" s="304">
        <f t="shared" si="550"/>
        <v>939.028618099995</v>
      </c>
      <c r="CN165" s="305">
        <f t="shared" si="550"/>
        <v>954.5254759</v>
      </c>
      <c r="CO165" s="303">
        <f t="shared" si="550"/>
        <v>966.0232143</v>
      </c>
      <c r="CP165" s="303">
        <f t="shared" si="550"/>
        <v>1140.1374214000002</v>
      </c>
      <c r="CQ165" s="303">
        <f t="shared" si="550"/>
        <v>1255.8332498000002</v>
      </c>
      <c r="CR165" s="391">
        <f aca="true" t="shared" si="551" ref="CR165:DN165">CR124+CR126+CR138+CR144+CR154-CR125-CR127-CR139-CR145</f>
        <v>1248.3628957</v>
      </c>
      <c r="CS165" s="303">
        <f t="shared" si="551"/>
        <v>1166.2390052</v>
      </c>
      <c r="CT165" s="303">
        <f t="shared" si="551"/>
        <v>1226.2041263</v>
      </c>
      <c r="CU165" s="303">
        <f t="shared" si="551"/>
        <v>1308.5435291999997</v>
      </c>
      <c r="CV165" s="305">
        <f t="shared" si="551"/>
        <v>1318.5169904</v>
      </c>
      <c r="CW165" s="303">
        <f t="shared" si="551"/>
        <v>1272.2621640000002</v>
      </c>
      <c r="CX165" s="303">
        <f t="shared" si="551"/>
        <v>1262.6922071</v>
      </c>
      <c r="CY165" s="303">
        <f t="shared" si="551"/>
        <v>1353.3548743999997</v>
      </c>
      <c r="CZ165" s="305">
        <f t="shared" si="551"/>
        <v>1365.1280401000001</v>
      </c>
      <c r="DA165" s="303">
        <f t="shared" si="551"/>
        <v>1365.5934128</v>
      </c>
      <c r="DB165" s="303">
        <f t="shared" si="551"/>
        <v>1382.34373684</v>
      </c>
      <c r="DC165" s="303">
        <f t="shared" si="551"/>
        <v>1442.0506780999992</v>
      </c>
      <c r="DD165" s="305">
        <f t="shared" si="551"/>
        <v>1368.2573013999997</v>
      </c>
      <c r="DE165" s="303">
        <f t="shared" si="551"/>
        <v>1403.9718571000003</v>
      </c>
      <c r="DF165" s="303">
        <f t="shared" si="551"/>
        <v>1371.9190423</v>
      </c>
      <c r="DG165" s="303">
        <f t="shared" si="551"/>
        <v>1334.578285</v>
      </c>
      <c r="DH165" s="305">
        <f t="shared" si="551"/>
        <v>1454.9662923</v>
      </c>
      <c r="DI165" s="303">
        <f t="shared" si="551"/>
        <v>1509.1159264</v>
      </c>
      <c r="DJ165" s="303">
        <f t="shared" si="551"/>
        <v>1337.1377565000003</v>
      </c>
      <c r="DK165" s="303">
        <f t="shared" si="551"/>
        <v>1567.9062843999995</v>
      </c>
      <c r="DL165" s="305">
        <f t="shared" si="551"/>
        <v>1634.1870836</v>
      </c>
      <c r="DM165" s="303">
        <f t="shared" si="551"/>
        <v>1104.3114987</v>
      </c>
      <c r="DN165" s="303">
        <f t="shared" si="551"/>
        <v>1515.9241871</v>
      </c>
      <c r="DO165" s="303">
        <f>DO124+DO126+DO138+DO144+DO154-DO125-DO127-DO139-DO145</f>
        <v>1664.4767149000002</v>
      </c>
      <c r="DP165" s="305">
        <f>DP124+DP126+DP138+DP144+DP154-DP125-DP127-DP139-DP145</f>
        <v>1530.2838648</v>
      </c>
      <c r="DQ165" s="303">
        <f>DQ124+DQ126+DQ138+DQ144+DQ154-DQ125-DQ127-DQ139-DQ145</f>
        <v>1542.8519752999998</v>
      </c>
      <c r="DR165" s="303">
        <f>DR124+DR126+DR138+DR144+DR154-DR125-DR127-DR139-DR145</f>
        <v>1452.6448996999998</v>
      </c>
      <c r="DS165" s="303">
        <f>DS124+DS126+DS138+DS144+DS154-DS125-DS127-DS139-DS145</f>
        <v>1298.2866313999998</v>
      </c>
    </row>
    <row r="166" spans="1:123" ht="15.75">
      <c r="A166" s="174"/>
      <c r="B166" s="174"/>
      <c r="C166" s="136"/>
      <c r="D166" s="137"/>
      <c r="E166" s="137"/>
      <c r="F166" s="137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41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512"/>
      <c r="AP166" s="512"/>
      <c r="AQ166" s="530"/>
      <c r="AR166" s="530"/>
      <c r="AS166" s="530"/>
      <c r="AT166" s="530"/>
      <c r="AU166" s="530"/>
      <c r="AV166" s="530"/>
      <c r="AW166" s="530"/>
      <c r="AX166" s="530"/>
      <c r="AY166" s="530"/>
      <c r="AZ166" s="530"/>
      <c r="BA166" s="530"/>
      <c r="BB166" s="530"/>
      <c r="BC166" s="530"/>
      <c r="BD166" s="530"/>
      <c r="BE166" s="530"/>
      <c r="BF166" s="530"/>
      <c r="BG166" s="530"/>
      <c r="BH166" s="530"/>
      <c r="BI166" s="530"/>
      <c r="BJ166" s="530"/>
      <c r="BK166" s="528"/>
      <c r="BL166" s="531"/>
      <c r="BM166" s="531"/>
      <c r="BN166" s="531"/>
      <c r="BO166" s="531"/>
      <c r="BP166" s="531"/>
      <c r="BQ166" s="531"/>
      <c r="BR166" s="531"/>
      <c r="BS166" s="531"/>
      <c r="BT166" s="531"/>
      <c r="BU166" s="531"/>
      <c r="BV166" s="531"/>
      <c r="BW166" s="531"/>
      <c r="BX166" s="531"/>
      <c r="BY166" s="531"/>
      <c r="BZ166" s="531"/>
      <c r="CA166" s="531"/>
      <c r="CB166" s="529"/>
      <c r="CC166" s="529"/>
      <c r="CD166" s="529"/>
      <c r="CE166" s="529"/>
      <c r="CF166" s="529"/>
      <c r="CG166" s="529"/>
      <c r="CH166" s="529"/>
      <c r="CI166" s="529"/>
      <c r="CJ166" s="529"/>
      <c r="CK166" s="529"/>
      <c r="CL166" s="529"/>
      <c r="CM166" s="529"/>
      <c r="CN166" s="529"/>
      <c r="CO166" s="532"/>
      <c r="CP166" s="532"/>
      <c r="CQ166" s="532"/>
      <c r="CR166" s="529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5"/>
      <c r="DF166" s="135"/>
      <c r="DG166" s="135"/>
      <c r="DH166" s="135"/>
      <c r="DI166" s="135"/>
      <c r="DJ166" s="135"/>
      <c r="DK166" s="135"/>
      <c r="DL166" s="135"/>
      <c r="DM166" s="135"/>
      <c r="DN166" s="135"/>
      <c r="DO166" s="135"/>
      <c r="DP166" s="135"/>
      <c r="DQ166" s="135"/>
      <c r="DR166" s="135"/>
      <c r="DS166" s="135"/>
    </row>
    <row r="167" spans="1:96" ht="15.75">
      <c r="A167" s="174"/>
      <c r="B167" s="174"/>
      <c r="C167" s="136"/>
      <c r="D167" s="137"/>
      <c r="E167" s="137"/>
      <c r="F167" s="137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531"/>
      <c r="AR167" s="531"/>
      <c r="AS167" s="531"/>
      <c r="AT167" s="531"/>
      <c r="AU167" s="565"/>
      <c r="AV167" s="565"/>
      <c r="AW167" s="565"/>
      <c r="AX167" s="565"/>
      <c r="AY167" s="565"/>
      <c r="AZ167" s="565"/>
      <c r="BA167" s="565"/>
      <c r="BB167" s="565"/>
      <c r="BC167" s="565"/>
      <c r="BD167" s="565"/>
      <c r="BE167" s="565"/>
      <c r="BF167" s="565"/>
      <c r="BG167" s="565"/>
      <c r="BH167" s="565"/>
      <c r="BI167" s="565"/>
      <c r="BJ167" s="565"/>
      <c r="BK167" s="528"/>
      <c r="BL167" s="531"/>
      <c r="BM167" s="533"/>
      <c r="BN167" s="533"/>
      <c r="BO167" s="533"/>
      <c r="BP167" s="529"/>
      <c r="BQ167" s="529"/>
      <c r="BR167" s="529"/>
      <c r="BS167" s="529"/>
      <c r="BT167" s="529"/>
      <c r="BU167" s="529"/>
      <c r="BV167" s="529"/>
      <c r="BW167" s="529"/>
      <c r="BX167" s="529"/>
      <c r="BY167" s="529"/>
      <c r="BZ167" s="529"/>
      <c r="CA167" s="529"/>
      <c r="CB167" s="529"/>
      <c r="CC167" s="529"/>
      <c r="CD167" s="529"/>
      <c r="CE167" s="529"/>
      <c r="CF167" s="529"/>
      <c r="CG167" s="529"/>
      <c r="CH167" s="529"/>
      <c r="CI167" s="529"/>
      <c r="CJ167" s="529"/>
      <c r="CK167" s="529"/>
      <c r="CL167" s="529"/>
      <c r="CM167" s="529"/>
      <c r="CN167" s="529"/>
      <c r="CO167" s="529"/>
      <c r="CP167" s="529"/>
      <c r="CQ167" s="529"/>
      <c r="CR167" s="529"/>
    </row>
    <row r="168" spans="1:169" s="68" customFormat="1" ht="15.75">
      <c r="A168" s="654" t="s">
        <v>96</v>
      </c>
      <c r="B168" s="654" t="s">
        <v>98</v>
      </c>
      <c r="C168" s="655" t="s">
        <v>52</v>
      </c>
      <c r="D168" s="655"/>
      <c r="E168" s="655"/>
      <c r="F168" s="655"/>
      <c r="G168" s="655"/>
      <c r="H168" s="655"/>
      <c r="I168" s="655"/>
      <c r="J168" s="655"/>
      <c r="K168" s="655"/>
      <c r="L168" s="655"/>
      <c r="M168" s="655"/>
      <c r="N168" s="655"/>
      <c r="O168" s="655"/>
      <c r="P168" s="655"/>
      <c r="Q168" s="655"/>
      <c r="R168" s="655"/>
      <c r="S168" s="655"/>
      <c r="T168" s="655"/>
      <c r="U168" s="655"/>
      <c r="V168" s="655"/>
      <c r="W168" s="655"/>
      <c r="X168" s="655"/>
      <c r="Y168" s="655"/>
      <c r="Z168" s="655"/>
      <c r="AA168" s="655"/>
      <c r="AB168" s="655"/>
      <c r="AC168" s="655"/>
      <c r="AD168" s="655"/>
      <c r="AE168" s="655"/>
      <c r="AF168" s="655"/>
      <c r="AG168" s="655"/>
      <c r="AH168" s="655"/>
      <c r="AI168" s="655"/>
      <c r="AJ168" s="655"/>
      <c r="AK168" s="655"/>
      <c r="AL168" s="655"/>
      <c r="AM168" s="655"/>
      <c r="AN168" s="655"/>
      <c r="AO168" s="655"/>
      <c r="AP168" s="655"/>
      <c r="AQ168" s="655"/>
      <c r="AR168" s="655"/>
      <c r="AS168" s="655"/>
      <c r="AT168" s="655"/>
      <c r="AU168" s="655"/>
      <c r="AV168" s="655"/>
      <c r="AW168" s="655"/>
      <c r="AX168" s="655"/>
      <c r="AY168" s="655"/>
      <c r="AZ168" s="655"/>
      <c r="BA168" s="655"/>
      <c r="BB168" s="655"/>
      <c r="BC168" s="655"/>
      <c r="BD168" s="655"/>
      <c r="BE168" s="655"/>
      <c r="BF168" s="655"/>
      <c r="BG168" s="655"/>
      <c r="BH168" s="655"/>
      <c r="BI168" s="655"/>
      <c r="BJ168" s="655"/>
      <c r="BK168" s="519"/>
      <c r="BL168" s="656" t="s">
        <v>177</v>
      </c>
      <c r="BM168" s="656"/>
      <c r="BN168" s="656"/>
      <c r="BO168" s="656"/>
      <c r="BP168" s="656"/>
      <c r="BQ168" s="656"/>
      <c r="BR168" s="656"/>
      <c r="BS168" s="656"/>
      <c r="BT168" s="656"/>
      <c r="BU168" s="656"/>
      <c r="BV168" s="656"/>
      <c r="BW168" s="656"/>
      <c r="BX168" s="656"/>
      <c r="BY168" s="656"/>
      <c r="BZ168" s="656"/>
      <c r="CA168" s="656"/>
      <c r="CB168" s="656"/>
      <c r="CC168" s="656"/>
      <c r="CD168" s="656"/>
      <c r="CE168" s="656"/>
      <c r="CF168" s="656"/>
      <c r="CG168" s="656"/>
      <c r="CH168" s="656"/>
      <c r="CI168" s="656"/>
      <c r="CJ168" s="656"/>
      <c r="CK168" s="656"/>
      <c r="CL168" s="656"/>
      <c r="CM168" s="656"/>
      <c r="CN168" s="656"/>
      <c r="CO168" s="656"/>
      <c r="CP168" s="656"/>
      <c r="CQ168" s="656"/>
      <c r="CR168" s="656"/>
      <c r="CS168" s="656"/>
      <c r="CT168" s="656"/>
      <c r="CU168" s="656"/>
      <c r="CV168" s="656"/>
      <c r="CW168" s="656"/>
      <c r="CX168" s="656"/>
      <c r="CY168" s="656"/>
      <c r="CZ168" s="656"/>
      <c r="DA168" s="656"/>
      <c r="DB168" s="656"/>
      <c r="DC168" s="656"/>
      <c r="DD168" s="656"/>
      <c r="DE168" s="656"/>
      <c r="DF168" s="656"/>
      <c r="DG168" s="656"/>
      <c r="DH168" s="656"/>
      <c r="DI168" s="656"/>
      <c r="DJ168" s="656"/>
      <c r="DK168" s="656"/>
      <c r="DL168" s="656"/>
      <c r="DM168" s="656"/>
      <c r="DN168" s="656"/>
      <c r="DO168" s="656"/>
      <c r="DP168" s="656"/>
      <c r="DQ168" s="656"/>
      <c r="DR168" s="656"/>
      <c r="DS168" s="656"/>
      <c r="DT168" s="247"/>
      <c r="DU168" s="247"/>
      <c r="DV168" s="247"/>
      <c r="DW168" s="247"/>
      <c r="DX168" s="247"/>
      <c r="DY168" s="247"/>
      <c r="DZ168" s="247"/>
      <c r="EA168" s="247"/>
      <c r="EB168" s="247"/>
      <c r="EC168" s="247"/>
      <c r="ED168" s="247"/>
      <c r="EE168" s="247"/>
      <c r="EF168" s="247"/>
      <c r="EG168" s="247"/>
      <c r="EH168" s="247"/>
      <c r="EI168" s="247"/>
      <c r="EJ168" s="247"/>
      <c r="EK168" s="247"/>
      <c r="EL168" s="247"/>
      <c r="EM168" s="247"/>
      <c r="EN168" s="247"/>
      <c r="EO168" s="247"/>
      <c r="EP168" s="247"/>
      <c r="EQ168" s="247"/>
      <c r="ER168" s="247"/>
      <c r="ES168" s="247"/>
      <c r="ET168" s="247"/>
      <c r="EU168" s="247"/>
      <c r="EV168" s="247"/>
      <c r="EW168" s="247"/>
      <c r="EX168" s="247"/>
      <c r="EY168" s="247"/>
      <c r="EZ168" s="247"/>
      <c r="FA168" s="247"/>
      <c r="FB168" s="247"/>
      <c r="FC168" s="247"/>
      <c r="FD168" s="247"/>
      <c r="FE168" s="247"/>
      <c r="FF168" s="247"/>
      <c r="FG168" s="247"/>
      <c r="FH168" s="247"/>
      <c r="FI168" s="247"/>
      <c r="FJ168" s="247"/>
      <c r="FK168" s="247"/>
      <c r="FL168" s="247"/>
      <c r="FM168" s="247"/>
    </row>
    <row r="169" spans="1:169" s="68" customFormat="1" ht="15.75">
      <c r="A169" s="654"/>
      <c r="B169" s="654"/>
      <c r="C169" s="655" t="s">
        <v>54</v>
      </c>
      <c r="D169" s="655"/>
      <c r="E169" s="655"/>
      <c r="F169" s="655"/>
      <c r="G169" s="655"/>
      <c r="H169" s="655"/>
      <c r="I169" s="655"/>
      <c r="J169" s="655"/>
      <c r="K169" s="655"/>
      <c r="L169" s="655"/>
      <c r="M169" s="655"/>
      <c r="N169" s="655"/>
      <c r="O169" s="655"/>
      <c r="P169" s="655"/>
      <c r="Q169" s="655"/>
      <c r="R169" s="655"/>
      <c r="S169" s="655"/>
      <c r="T169" s="655"/>
      <c r="U169" s="655"/>
      <c r="V169" s="655"/>
      <c r="W169" s="655"/>
      <c r="X169" s="655"/>
      <c r="Y169" s="655"/>
      <c r="Z169" s="655"/>
      <c r="AA169" s="655"/>
      <c r="AB169" s="655"/>
      <c r="AC169" s="655"/>
      <c r="AD169" s="655"/>
      <c r="AE169" s="655"/>
      <c r="AF169" s="655"/>
      <c r="AG169" s="655"/>
      <c r="AH169" s="655"/>
      <c r="AI169" s="655"/>
      <c r="AJ169" s="655"/>
      <c r="AK169" s="655"/>
      <c r="AL169" s="655"/>
      <c r="AM169" s="655"/>
      <c r="AN169" s="655"/>
      <c r="AO169" s="655"/>
      <c r="AP169" s="655"/>
      <c r="AQ169" s="655"/>
      <c r="AR169" s="655"/>
      <c r="AS169" s="655"/>
      <c r="AT169" s="655"/>
      <c r="AU169" s="655"/>
      <c r="AV169" s="655"/>
      <c r="AW169" s="655"/>
      <c r="AX169" s="655"/>
      <c r="AY169" s="655"/>
      <c r="AZ169" s="655"/>
      <c r="BA169" s="655"/>
      <c r="BB169" s="655"/>
      <c r="BC169" s="655"/>
      <c r="BD169" s="655"/>
      <c r="BE169" s="655"/>
      <c r="BF169" s="655"/>
      <c r="BG169" s="655"/>
      <c r="BH169" s="655"/>
      <c r="BI169" s="655"/>
      <c r="BJ169" s="655"/>
      <c r="BK169" s="519"/>
      <c r="BL169" s="656" t="s">
        <v>178</v>
      </c>
      <c r="BM169" s="656"/>
      <c r="BN169" s="656"/>
      <c r="BO169" s="656"/>
      <c r="BP169" s="656"/>
      <c r="BQ169" s="656"/>
      <c r="BR169" s="656"/>
      <c r="BS169" s="656"/>
      <c r="BT169" s="656"/>
      <c r="BU169" s="656"/>
      <c r="BV169" s="656"/>
      <c r="BW169" s="656"/>
      <c r="BX169" s="656"/>
      <c r="BY169" s="656"/>
      <c r="BZ169" s="656"/>
      <c r="CA169" s="656"/>
      <c r="CB169" s="656"/>
      <c r="CC169" s="656"/>
      <c r="CD169" s="656"/>
      <c r="CE169" s="656"/>
      <c r="CF169" s="656"/>
      <c r="CG169" s="656"/>
      <c r="CH169" s="656"/>
      <c r="CI169" s="656"/>
      <c r="CJ169" s="656"/>
      <c r="CK169" s="656"/>
      <c r="CL169" s="656"/>
      <c r="CM169" s="656"/>
      <c r="CN169" s="656"/>
      <c r="CO169" s="656"/>
      <c r="CP169" s="656"/>
      <c r="CQ169" s="656"/>
      <c r="CR169" s="656"/>
      <c r="CS169" s="656"/>
      <c r="CT169" s="656"/>
      <c r="CU169" s="656"/>
      <c r="CV169" s="656"/>
      <c r="CW169" s="656"/>
      <c r="CX169" s="656"/>
      <c r="CY169" s="656"/>
      <c r="CZ169" s="656"/>
      <c r="DA169" s="656"/>
      <c r="DB169" s="656"/>
      <c r="DC169" s="656"/>
      <c r="DD169" s="656"/>
      <c r="DE169" s="656"/>
      <c r="DF169" s="656"/>
      <c r="DG169" s="656"/>
      <c r="DH169" s="656"/>
      <c r="DI169" s="656"/>
      <c r="DJ169" s="656"/>
      <c r="DK169" s="656"/>
      <c r="DL169" s="656"/>
      <c r="DM169" s="656"/>
      <c r="DN169" s="656"/>
      <c r="DO169" s="656"/>
      <c r="DP169" s="656"/>
      <c r="DQ169" s="656"/>
      <c r="DR169" s="656"/>
      <c r="DS169" s="656"/>
      <c r="DT169" s="247"/>
      <c r="DU169" s="247"/>
      <c r="DV169" s="247"/>
      <c r="DW169" s="247"/>
      <c r="DX169" s="247"/>
      <c r="DY169" s="247"/>
      <c r="DZ169" s="247"/>
      <c r="EA169" s="247"/>
      <c r="EB169" s="247"/>
      <c r="EC169" s="247"/>
      <c r="ED169" s="247"/>
      <c r="EE169" s="247"/>
      <c r="EF169" s="247"/>
      <c r="EG169" s="247"/>
      <c r="EH169" s="247"/>
      <c r="EI169" s="247"/>
      <c r="EJ169" s="247"/>
      <c r="EK169" s="247"/>
      <c r="EL169" s="247"/>
      <c r="EM169" s="247"/>
      <c r="EN169" s="247"/>
      <c r="EO169" s="247"/>
      <c r="EP169" s="247"/>
      <c r="EQ169" s="247"/>
      <c r="ER169" s="247"/>
      <c r="ES169" s="247"/>
      <c r="ET169" s="247"/>
      <c r="EU169" s="247"/>
      <c r="EV169" s="247"/>
      <c r="EW169" s="247"/>
      <c r="EX169" s="247"/>
      <c r="EY169" s="247"/>
      <c r="EZ169" s="247"/>
      <c r="FA169" s="247"/>
      <c r="FB169" s="247"/>
      <c r="FC169" s="247"/>
      <c r="FD169" s="247"/>
      <c r="FE169" s="247"/>
      <c r="FF169" s="247"/>
      <c r="FG169" s="247"/>
      <c r="FH169" s="247"/>
      <c r="FI169" s="247"/>
      <c r="FJ169" s="247"/>
      <c r="FK169" s="247"/>
      <c r="FL169" s="247"/>
      <c r="FM169" s="247"/>
    </row>
    <row r="170" spans="1:169" s="68" customFormat="1" ht="15.75">
      <c r="A170" s="96" t="s">
        <v>55</v>
      </c>
      <c r="B170" s="96" t="s">
        <v>53</v>
      </c>
      <c r="C170" s="328" t="s">
        <v>108</v>
      </c>
      <c r="D170" s="328" t="s">
        <v>109</v>
      </c>
      <c r="E170" s="328" t="s">
        <v>110</v>
      </c>
      <c r="F170" s="328" t="s">
        <v>111</v>
      </c>
      <c r="G170" s="328" t="s">
        <v>107</v>
      </c>
      <c r="H170" s="328" t="s">
        <v>140</v>
      </c>
      <c r="I170" s="328" t="s">
        <v>141</v>
      </c>
      <c r="J170" s="328" t="s">
        <v>143</v>
      </c>
      <c r="K170" s="328" t="s">
        <v>144</v>
      </c>
      <c r="L170" s="328" t="s">
        <v>145</v>
      </c>
      <c r="M170" s="328" t="s">
        <v>146</v>
      </c>
      <c r="N170" s="328" t="s">
        <v>147</v>
      </c>
      <c r="O170" s="328" t="s">
        <v>148</v>
      </c>
      <c r="P170" s="328" t="s">
        <v>149</v>
      </c>
      <c r="Q170" s="328" t="s">
        <v>151</v>
      </c>
      <c r="R170" s="328" t="s">
        <v>158</v>
      </c>
      <c r="S170" s="328" t="s">
        <v>164</v>
      </c>
      <c r="T170" s="328" t="s">
        <v>165</v>
      </c>
      <c r="U170" s="328" t="s">
        <v>166</v>
      </c>
      <c r="V170" s="328" t="s">
        <v>167</v>
      </c>
      <c r="W170" s="328" t="s">
        <v>196</v>
      </c>
      <c r="X170" s="328" t="s">
        <v>198</v>
      </c>
      <c r="Y170" s="328" t="s">
        <v>200</v>
      </c>
      <c r="Z170" s="328" t="s">
        <v>202</v>
      </c>
      <c r="AA170" s="328" t="s">
        <v>207</v>
      </c>
      <c r="AB170" s="328" t="s">
        <v>209</v>
      </c>
      <c r="AC170" s="328" t="s">
        <v>210</v>
      </c>
      <c r="AD170" s="328" t="s">
        <v>211</v>
      </c>
      <c r="AE170" s="328" t="s">
        <v>215</v>
      </c>
      <c r="AF170" s="328" t="s">
        <v>216</v>
      </c>
      <c r="AG170" s="328" t="s">
        <v>220</v>
      </c>
      <c r="AH170" s="328" t="s">
        <v>225</v>
      </c>
      <c r="AI170" s="328" t="s">
        <v>230</v>
      </c>
      <c r="AJ170" s="328" t="s">
        <v>232</v>
      </c>
      <c r="AK170" s="328" t="s">
        <v>237</v>
      </c>
      <c r="AL170" s="328" t="s">
        <v>239</v>
      </c>
      <c r="AM170" s="328" t="s">
        <v>246</v>
      </c>
      <c r="AN170" s="328" t="s">
        <v>247</v>
      </c>
      <c r="AO170" s="328" t="s">
        <v>249</v>
      </c>
      <c r="AP170" s="329" t="s">
        <v>251</v>
      </c>
      <c r="AQ170" s="330" t="s">
        <v>254</v>
      </c>
      <c r="AR170" s="328" t="s">
        <v>257</v>
      </c>
      <c r="AS170" s="371" t="s">
        <v>259</v>
      </c>
      <c r="AT170" s="328" t="s">
        <v>261</v>
      </c>
      <c r="AU170" s="330" t="s">
        <v>263</v>
      </c>
      <c r="AV170" s="328" t="s">
        <v>264</v>
      </c>
      <c r="AW170" s="328" t="s">
        <v>266</v>
      </c>
      <c r="AX170" s="455" t="s">
        <v>268</v>
      </c>
      <c r="AY170" s="330" t="s">
        <v>274</v>
      </c>
      <c r="AZ170" s="328" t="s">
        <v>275</v>
      </c>
      <c r="BA170" s="328" t="s">
        <v>277</v>
      </c>
      <c r="BB170" s="328" t="s">
        <v>279</v>
      </c>
      <c r="BC170" s="330" t="s">
        <v>281</v>
      </c>
      <c r="BD170" s="328" t="s">
        <v>282</v>
      </c>
      <c r="BE170" s="328" t="s">
        <v>286</v>
      </c>
      <c r="BF170" s="328" t="s">
        <v>291</v>
      </c>
      <c r="BG170" s="330" t="s">
        <v>293</v>
      </c>
      <c r="BH170" s="328" t="s">
        <v>294</v>
      </c>
      <c r="BI170" s="328" t="s">
        <v>296</v>
      </c>
      <c r="BJ170" s="328" t="s">
        <v>310</v>
      </c>
      <c r="BK170" s="519"/>
      <c r="BL170" s="332" t="s">
        <v>108</v>
      </c>
      <c r="BM170" s="332" t="s">
        <v>109</v>
      </c>
      <c r="BN170" s="332" t="s">
        <v>110</v>
      </c>
      <c r="BO170" s="333" t="s">
        <v>111</v>
      </c>
      <c r="BP170" s="334" t="s">
        <v>107</v>
      </c>
      <c r="BQ170" s="332" t="s">
        <v>140</v>
      </c>
      <c r="BR170" s="332" t="s">
        <v>141</v>
      </c>
      <c r="BS170" s="333" t="s">
        <v>143</v>
      </c>
      <c r="BT170" s="334" t="s">
        <v>144</v>
      </c>
      <c r="BU170" s="332" t="s">
        <v>145</v>
      </c>
      <c r="BV170" s="332" t="s">
        <v>146</v>
      </c>
      <c r="BW170" s="333" t="s">
        <v>147</v>
      </c>
      <c r="BX170" s="334" t="s">
        <v>148</v>
      </c>
      <c r="BY170" s="332" t="s">
        <v>149</v>
      </c>
      <c r="BZ170" s="332" t="s">
        <v>151</v>
      </c>
      <c r="CA170" s="337" t="s">
        <v>158</v>
      </c>
      <c r="CB170" s="334" t="s">
        <v>164</v>
      </c>
      <c r="CC170" s="332" t="s">
        <v>165</v>
      </c>
      <c r="CD170" s="332" t="s">
        <v>166</v>
      </c>
      <c r="CE170" s="332" t="s">
        <v>167</v>
      </c>
      <c r="CF170" s="334" t="s">
        <v>196</v>
      </c>
      <c r="CG170" s="332" t="s">
        <v>198</v>
      </c>
      <c r="CH170" s="332" t="s">
        <v>200</v>
      </c>
      <c r="CI170" s="332" t="s">
        <v>202</v>
      </c>
      <c r="CJ170" s="334" t="s">
        <v>207</v>
      </c>
      <c r="CK170" s="332" t="s">
        <v>209</v>
      </c>
      <c r="CL170" s="332" t="s">
        <v>210</v>
      </c>
      <c r="CM170" s="403" t="s">
        <v>211</v>
      </c>
      <c r="CN170" s="334" t="s">
        <v>215</v>
      </c>
      <c r="CO170" s="332" t="s">
        <v>216</v>
      </c>
      <c r="CP170" s="332" t="s">
        <v>220</v>
      </c>
      <c r="CQ170" s="332" t="s">
        <v>225</v>
      </c>
      <c r="CR170" s="469" t="s">
        <v>230</v>
      </c>
      <c r="CS170" s="332" t="s">
        <v>232</v>
      </c>
      <c r="CT170" s="332" t="s">
        <v>237</v>
      </c>
      <c r="CU170" s="332" t="s">
        <v>239</v>
      </c>
      <c r="CV170" s="334" t="s">
        <v>246</v>
      </c>
      <c r="CW170" s="332" t="s">
        <v>247</v>
      </c>
      <c r="CX170" s="332" t="s">
        <v>249</v>
      </c>
      <c r="CY170" s="332" t="s">
        <v>251</v>
      </c>
      <c r="CZ170" s="334" t="s">
        <v>254</v>
      </c>
      <c r="DA170" s="332" t="s">
        <v>257</v>
      </c>
      <c r="DB170" s="332" t="s">
        <v>259</v>
      </c>
      <c r="DC170" s="332" t="s">
        <v>261</v>
      </c>
      <c r="DD170" s="334" t="s">
        <v>263</v>
      </c>
      <c r="DE170" s="332" t="s">
        <v>264</v>
      </c>
      <c r="DF170" s="332" t="s">
        <v>266</v>
      </c>
      <c r="DG170" s="332" t="s">
        <v>268</v>
      </c>
      <c r="DH170" s="334" t="s">
        <v>274</v>
      </c>
      <c r="DI170" s="332" t="s">
        <v>275</v>
      </c>
      <c r="DJ170" s="332" t="s">
        <v>277</v>
      </c>
      <c r="DK170" s="332" t="s">
        <v>279</v>
      </c>
      <c r="DL170" s="334" t="s">
        <v>281</v>
      </c>
      <c r="DM170" s="332" t="s">
        <v>282</v>
      </c>
      <c r="DN170" s="332" t="s">
        <v>286</v>
      </c>
      <c r="DO170" s="332" t="s">
        <v>291</v>
      </c>
      <c r="DP170" s="334" t="s">
        <v>293</v>
      </c>
      <c r="DQ170" s="332" t="s">
        <v>294</v>
      </c>
      <c r="DR170" s="332" t="s">
        <v>296</v>
      </c>
      <c r="DS170" s="332" t="s">
        <v>309</v>
      </c>
      <c r="DT170" s="247"/>
      <c r="DU170" s="247"/>
      <c r="DV170" s="247"/>
      <c r="DW170" s="247"/>
      <c r="DX170" s="247"/>
      <c r="DY170" s="247"/>
      <c r="DZ170" s="247"/>
      <c r="EA170" s="247"/>
      <c r="EB170" s="247"/>
      <c r="EC170" s="247"/>
      <c r="ED170" s="247"/>
      <c r="EE170" s="247"/>
      <c r="EF170" s="247"/>
      <c r="EG170" s="247"/>
      <c r="EH170" s="247"/>
      <c r="EI170" s="247"/>
      <c r="EJ170" s="247"/>
      <c r="EK170" s="247"/>
      <c r="EL170" s="247"/>
      <c r="EM170" s="247"/>
      <c r="EN170" s="247"/>
      <c r="EO170" s="247"/>
      <c r="EP170" s="247"/>
      <c r="EQ170" s="247"/>
      <c r="ER170" s="247"/>
      <c r="ES170" s="247"/>
      <c r="ET170" s="247"/>
      <c r="EU170" s="247"/>
      <c r="EV170" s="247"/>
      <c r="EW170" s="247"/>
      <c r="EX170" s="247"/>
      <c r="EY170" s="247"/>
      <c r="EZ170" s="247"/>
      <c r="FA170" s="247"/>
      <c r="FB170" s="247"/>
      <c r="FC170" s="247"/>
      <c r="FD170" s="247"/>
      <c r="FE170" s="247"/>
      <c r="FF170" s="247"/>
      <c r="FG170" s="247"/>
      <c r="FH170" s="247"/>
      <c r="FI170" s="247"/>
      <c r="FJ170" s="247"/>
      <c r="FK170" s="247"/>
      <c r="FL170" s="247"/>
      <c r="FM170" s="247"/>
    </row>
    <row r="171" spans="1:128" ht="15.75">
      <c r="A171" s="98" t="s">
        <v>58</v>
      </c>
      <c r="B171" s="98" t="s">
        <v>2</v>
      </c>
      <c r="C171" s="71">
        <v>138.7</v>
      </c>
      <c r="D171" s="71">
        <v>135.5</v>
      </c>
      <c r="E171" s="71">
        <v>145.651</v>
      </c>
      <c r="F171" s="72">
        <v>142.832</v>
      </c>
      <c r="G171" s="73">
        <v>142.7</v>
      </c>
      <c r="H171" s="71">
        <v>135.2</v>
      </c>
      <c r="I171" s="71">
        <v>97.40000000000003</v>
      </c>
      <c r="J171" s="72">
        <f>Annually!H180-SUM(G171:I171)</f>
        <v>140.8</v>
      </c>
      <c r="K171" s="74">
        <v>151.2</v>
      </c>
      <c r="L171" s="75">
        <v>140.8</v>
      </c>
      <c r="M171" s="75">
        <v>149.10000000000002</v>
      </c>
      <c r="N171" s="76">
        <f>Annually!I180-M171-L171-K171</f>
        <v>136</v>
      </c>
      <c r="O171" s="74">
        <v>147.93</v>
      </c>
      <c r="P171" s="75">
        <f>294.443-O171</f>
        <v>146.51299999999998</v>
      </c>
      <c r="Q171" s="75">
        <v>76.457</v>
      </c>
      <c r="R171" s="75">
        <f>-Q171-P171-O171+Annually!J180</f>
        <v>153.87</v>
      </c>
      <c r="S171" s="74">
        <v>153.7</v>
      </c>
      <c r="T171" s="75">
        <v>154.3</v>
      </c>
      <c r="U171" s="75">
        <v>150.3</v>
      </c>
      <c r="V171" s="75">
        <v>157.31599999999997</v>
      </c>
      <c r="W171" s="74">
        <v>153.644</v>
      </c>
      <c r="X171" s="75">
        <v>147.22500000000002</v>
      </c>
      <c r="Y171" s="75">
        <v>114.231</v>
      </c>
      <c r="Z171" s="75">
        <f>Annually!L180-Y171-X171-W171</f>
        <v>110.60000000000002</v>
      </c>
      <c r="AA171" s="74">
        <v>156.651</v>
      </c>
      <c r="AB171" s="75">
        <v>155.39299999999997</v>
      </c>
      <c r="AC171" s="75">
        <v>155.356</v>
      </c>
      <c r="AD171" s="75">
        <f>Annually!M180-AC171-AB171-AA171</f>
        <v>160.5</v>
      </c>
      <c r="AE171" s="74">
        <v>158.85899999999998</v>
      </c>
      <c r="AF171" s="75">
        <v>152.23999999999995</v>
      </c>
      <c r="AG171" s="254">
        <v>157.70100000000008</v>
      </c>
      <c r="AH171" s="75">
        <f>Annually!N180-AG171-AF171-AE171</f>
        <v>117.90000000000003</v>
      </c>
      <c r="AI171" s="376">
        <v>147.87</v>
      </c>
      <c r="AJ171" s="75">
        <v>157.63</v>
      </c>
      <c r="AK171" s="75">
        <v>152.79700000000003</v>
      </c>
      <c r="AL171" s="75">
        <f>Annually!O180-AK171-AJ171-AI171</f>
        <v>144.68599999999992</v>
      </c>
      <c r="AM171" s="376">
        <v>154.895</v>
      </c>
      <c r="AN171" s="75">
        <v>136.456</v>
      </c>
      <c r="AO171" s="75">
        <v>154.598</v>
      </c>
      <c r="AP171" s="75">
        <f>Annually!P180-AM171-AN171-AO171</f>
        <v>154.56400000000002</v>
      </c>
      <c r="AQ171" s="376">
        <v>149.552</v>
      </c>
      <c r="AR171" s="254">
        <v>151.15200000000002</v>
      </c>
      <c r="AS171" s="254">
        <v>149.36399999999995</v>
      </c>
      <c r="AT171" s="75">
        <f>Annually!Q180-AQ171-AR171-AS171</f>
        <v>14.971000000000004</v>
      </c>
      <c r="AU171" s="376">
        <v>186.179</v>
      </c>
      <c r="AV171" s="254">
        <v>181.121</v>
      </c>
      <c r="AW171" s="254">
        <v>190.96900000000002</v>
      </c>
      <c r="AX171" s="272">
        <f>Annually!R180-AU171-AV171-AW171</f>
        <v>167.742</v>
      </c>
      <c r="AY171" s="588">
        <v>177.889</v>
      </c>
      <c r="AZ171" s="605">
        <v>187.154</v>
      </c>
      <c r="BA171" s="254">
        <v>191.424</v>
      </c>
      <c r="BB171" s="272">
        <f>Annually!S180-AY171-AZ171-BA171</f>
        <v>180.36699999999993</v>
      </c>
      <c r="BC171" s="588">
        <v>190.37800000000001</v>
      </c>
      <c r="BD171" s="605">
        <v>169.22599999999997</v>
      </c>
      <c r="BE171" s="605">
        <v>178.00399999999993</v>
      </c>
      <c r="BF171" s="272">
        <f>Annually!T180-BC171-BD171-BE171</f>
        <v>132.49800000000002</v>
      </c>
      <c r="BG171" s="588">
        <v>197.973</v>
      </c>
      <c r="BH171" s="605">
        <v>203.947</v>
      </c>
      <c r="BI171" s="605">
        <v>204.695</v>
      </c>
      <c r="BJ171" s="272">
        <f>Annually!U180-BG171-BH171-BI171</f>
        <v>204.1989999999999</v>
      </c>
      <c r="BK171" s="519"/>
      <c r="BL171" s="77">
        <v>3.34031</v>
      </c>
      <c r="BM171" s="176">
        <v>0.0009999999999998899</v>
      </c>
      <c r="BN171" s="77">
        <v>4.41028</v>
      </c>
      <c r="BO171" s="78">
        <v>15.0332</v>
      </c>
      <c r="BP171" s="79">
        <v>4</v>
      </c>
      <c r="BQ171" s="80">
        <v>4.054679999999999</v>
      </c>
      <c r="BR171" s="177">
        <v>0.04532000000000025</v>
      </c>
      <c r="BS171" s="81">
        <f>Annually!AC180-SUM(Quarterly!BP171:BR171)</f>
        <v>4</v>
      </c>
      <c r="BT171" s="178">
        <v>0.004</v>
      </c>
      <c r="BU171" s="179">
        <v>0.003</v>
      </c>
      <c r="BV171" s="83">
        <v>12.793000000000001</v>
      </c>
      <c r="BW171" s="84">
        <f>Annually!AD180-Quarterly!BV171-Quarterly!BU171-Quarterly!BT171</f>
        <v>7.899999999999999</v>
      </c>
      <c r="BX171" s="82">
        <v>0.001</v>
      </c>
      <c r="BY171" s="83">
        <f>0.003-BX171</f>
        <v>0.002</v>
      </c>
      <c r="BZ171" s="83">
        <v>9.797</v>
      </c>
      <c r="CA171" s="85">
        <f>-BZ171-BY171-BX171+Annually!AE180</f>
        <v>0</v>
      </c>
      <c r="CB171" s="82">
        <v>2</v>
      </c>
      <c r="CC171" s="83">
        <v>11.9</v>
      </c>
      <c r="CD171" s="83">
        <v>17.299999999999997</v>
      </c>
      <c r="CE171" s="83">
        <v>9.900000000000006</v>
      </c>
      <c r="CF171" s="82">
        <v>4.9</v>
      </c>
      <c r="CG171" s="83">
        <v>3.4723500000000005</v>
      </c>
      <c r="CH171" s="83">
        <v>7.0276499999999995</v>
      </c>
      <c r="CI171" s="83">
        <f>Annually!AG180-Quarterly!CH171-Quarterly!CG171-Quarterly!CF171</f>
        <v>0.9000000000000004</v>
      </c>
      <c r="CJ171" s="82">
        <v>3.96705</v>
      </c>
      <c r="CK171" s="83">
        <v>4.986519999999999</v>
      </c>
      <c r="CL171" s="83">
        <v>3.846430000000002</v>
      </c>
      <c r="CM171" s="85">
        <f>Annually!AH180-CL171-CK171-CJ171</f>
        <v>0.6000000000000001</v>
      </c>
      <c r="CN171" s="82">
        <v>0</v>
      </c>
      <c r="CO171" s="83">
        <v>0</v>
      </c>
      <c r="CP171" s="83">
        <v>0</v>
      </c>
      <c r="CQ171" s="83">
        <f>Annually!AI180-CP171-CO171-CN171</f>
        <v>0</v>
      </c>
      <c r="CR171" s="481">
        <v>0</v>
      </c>
      <c r="CS171" s="83">
        <v>0</v>
      </c>
      <c r="CT171" s="83">
        <v>0</v>
      </c>
      <c r="CU171" s="83">
        <f>Annually!AJ180-CT171-CS171-CR171</f>
        <v>0</v>
      </c>
      <c r="CV171" s="82">
        <v>0</v>
      </c>
      <c r="CW171" s="83">
        <v>0</v>
      </c>
      <c r="CX171" s="83">
        <v>0</v>
      </c>
      <c r="CY171" s="83">
        <v>0</v>
      </c>
      <c r="CZ171" s="82">
        <v>0</v>
      </c>
      <c r="DA171" s="83">
        <v>0</v>
      </c>
      <c r="DB171" s="86">
        <v>0</v>
      </c>
      <c r="DC171" s="83">
        <v>0</v>
      </c>
      <c r="DD171" s="82">
        <v>0</v>
      </c>
      <c r="DE171" s="83">
        <v>1.99307</v>
      </c>
      <c r="DF171" s="86">
        <v>0</v>
      </c>
      <c r="DG171" s="83">
        <v>0</v>
      </c>
      <c r="DH171" s="82">
        <v>0</v>
      </c>
      <c r="DI171" s="83">
        <v>0</v>
      </c>
      <c r="DJ171" s="86">
        <v>0</v>
      </c>
      <c r="DK171" s="83">
        <v>0</v>
      </c>
      <c r="DL171" s="82">
        <v>0</v>
      </c>
      <c r="DM171" s="83">
        <v>0</v>
      </c>
      <c r="DN171" s="83">
        <v>0</v>
      </c>
      <c r="DO171" s="83">
        <f>Annually!AO180-DN171-DM171-DL171</f>
        <v>0</v>
      </c>
      <c r="DP171" s="82">
        <v>0</v>
      </c>
      <c r="DQ171" s="83">
        <v>0</v>
      </c>
      <c r="DR171" s="83">
        <v>0</v>
      </c>
      <c r="DS171" s="83">
        <f>Annually!AP180-DR171-DQ171-DP171</f>
        <v>0</v>
      </c>
      <c r="DU171" s="63"/>
      <c r="DV171" s="63"/>
      <c r="DW171" s="63"/>
      <c r="DX171" s="63"/>
    </row>
    <row r="172" spans="1:169" s="129" customFormat="1" ht="15.75">
      <c r="A172" s="100" t="s">
        <v>104</v>
      </c>
      <c r="B172" s="100" t="s">
        <v>93</v>
      </c>
      <c r="C172" s="101">
        <v>136.4</v>
      </c>
      <c r="D172" s="101">
        <v>136.4</v>
      </c>
      <c r="E172" s="101">
        <v>138.64646999999997</v>
      </c>
      <c r="F172" s="102">
        <v>127.67183</v>
      </c>
      <c r="G172" s="103">
        <v>141</v>
      </c>
      <c r="H172" s="101">
        <v>131.07283</v>
      </c>
      <c r="I172" s="101">
        <v>99.72717</v>
      </c>
      <c r="J172" s="102">
        <f>Annually!H181-SUM(G172:I172)</f>
        <v>136.11375999999996</v>
      </c>
      <c r="K172" s="180">
        <v>151.8</v>
      </c>
      <c r="L172" s="181">
        <v>138</v>
      </c>
      <c r="M172" s="181">
        <v>137.8</v>
      </c>
      <c r="N172" s="182">
        <f>Annually!I181-M172-L172-K172</f>
        <v>129.89999999999998</v>
      </c>
      <c r="O172" s="180">
        <v>146.64</v>
      </c>
      <c r="P172" s="181">
        <f>287.46052-P171</f>
        <v>140.94752</v>
      </c>
      <c r="Q172" s="181">
        <v>72.91248000000002</v>
      </c>
      <c r="R172" s="181">
        <f>-Q172-P172-O172+Annually!J181</f>
        <v>152.70000000000005</v>
      </c>
      <c r="S172" s="180">
        <v>150.6</v>
      </c>
      <c r="T172" s="181">
        <v>140.79999999999998</v>
      </c>
      <c r="U172" s="181">
        <v>133.97000000000006</v>
      </c>
      <c r="V172" s="181">
        <v>148.15423999999996</v>
      </c>
      <c r="W172" s="180">
        <v>148.5</v>
      </c>
      <c r="X172" s="181">
        <v>142.32223</v>
      </c>
      <c r="Y172" s="181">
        <v>111.67777000000001</v>
      </c>
      <c r="Z172" s="181">
        <f>Annually!L181-Y172-X172-W172</f>
        <v>107.10000000000002</v>
      </c>
      <c r="AA172" s="180">
        <v>152.91855</v>
      </c>
      <c r="AB172" s="181">
        <v>150.67567999999997</v>
      </c>
      <c r="AC172" s="181">
        <v>150.70577</v>
      </c>
      <c r="AD172" s="181">
        <f>Annually!M181-AC172-AB172-AA172</f>
        <v>159.40000000000006</v>
      </c>
      <c r="AE172" s="180">
        <v>158.85899999999998</v>
      </c>
      <c r="AF172" s="181">
        <v>154.96300000000002</v>
      </c>
      <c r="AG172" s="257">
        <v>156.77800000000002</v>
      </c>
      <c r="AH172" s="181">
        <f>Annually!N181-AG172-AF172-AE172</f>
        <v>116.10000000000002</v>
      </c>
      <c r="AI172" s="467">
        <v>147.87</v>
      </c>
      <c r="AJ172" s="181">
        <v>157.13</v>
      </c>
      <c r="AK172" s="181">
        <f>156.0397</f>
        <v>156.0397</v>
      </c>
      <c r="AL172" s="181">
        <f>Annually!O181-AK172-AJ172-AI172</f>
        <v>140.86299999999994</v>
      </c>
      <c r="AM172" s="467">
        <v>157.5251</v>
      </c>
      <c r="AN172" s="181">
        <v>135.507</v>
      </c>
      <c r="AO172" s="181">
        <v>155.42077999999998</v>
      </c>
      <c r="AP172" s="181">
        <f>Annually!P181-AM172-AN172-AO172</f>
        <v>155.29012000000006</v>
      </c>
      <c r="AQ172" s="467">
        <v>149.0354</v>
      </c>
      <c r="AR172" s="257">
        <v>150.4469</v>
      </c>
      <c r="AS172" s="257">
        <v>146.79169899999997</v>
      </c>
      <c r="AT172" s="181">
        <f>Annually!Q181-AQ172-AR172-AS172</f>
        <v>15.83901099999997</v>
      </c>
      <c r="AU172" s="467">
        <v>186.901499</v>
      </c>
      <c r="AV172" s="257">
        <v>181.45013</v>
      </c>
      <c r="AW172" s="257">
        <v>189.81219999999996</v>
      </c>
      <c r="AX172" s="273">
        <f>Annually!R181-AU172-AV172-AW172</f>
        <v>168.66699999999997</v>
      </c>
      <c r="AY172" s="589">
        <v>176.16941</v>
      </c>
      <c r="AZ172" s="570">
        <f>364.06182-AY172</f>
        <v>187.89241</v>
      </c>
      <c r="BA172" s="257">
        <v>191.95398899999995</v>
      </c>
      <c r="BB172" s="273">
        <f>Annually!S181-AY172-AZ172-BA172</f>
        <v>177.9933</v>
      </c>
      <c r="BC172" s="589">
        <v>190.746901</v>
      </c>
      <c r="BD172" s="570">
        <v>170.10529899999997</v>
      </c>
      <c r="BE172" s="570">
        <v>179.3532</v>
      </c>
      <c r="BF172" s="273">
        <f>Annually!T181-BC172-BD172-BE172</f>
        <v>131.17280000000008</v>
      </c>
      <c r="BG172" s="589">
        <v>197.1144</v>
      </c>
      <c r="BH172" s="570">
        <v>204.12370000000004</v>
      </c>
      <c r="BI172" s="570">
        <v>203.28389000000004</v>
      </c>
      <c r="BJ172" s="273">
        <f>Annually!U181-BG172-BH172-BI172</f>
        <v>204.70040899999998</v>
      </c>
      <c r="BK172" s="519"/>
      <c r="BL172" s="145"/>
      <c r="BM172" s="145"/>
      <c r="BN172" s="145"/>
      <c r="BO172" s="146"/>
      <c r="BP172" s="147"/>
      <c r="BQ172" s="148"/>
      <c r="BR172" s="148"/>
      <c r="BS172" s="149"/>
      <c r="BT172" s="150"/>
      <c r="BU172" s="151"/>
      <c r="BV172" s="151"/>
      <c r="BW172" s="152"/>
      <c r="BX172" s="153"/>
      <c r="BY172" s="154"/>
      <c r="BZ172" s="154"/>
      <c r="CA172" s="155"/>
      <c r="CB172" s="153"/>
      <c r="CC172" s="154"/>
      <c r="CD172" s="154"/>
      <c r="CE172" s="154"/>
      <c r="CF172" s="150"/>
      <c r="CG172" s="151"/>
      <c r="CH172" s="151"/>
      <c r="CI172" s="151"/>
      <c r="CJ172" s="150">
        <v>1.99458</v>
      </c>
      <c r="CK172" s="151">
        <v>1.99364</v>
      </c>
      <c r="CL172" s="151"/>
      <c r="CM172" s="397">
        <f>Annually!AH181-CL172-CK172-CJ172</f>
        <v>0</v>
      </c>
      <c r="CN172" s="150"/>
      <c r="CO172" s="151"/>
      <c r="CP172" s="151"/>
      <c r="CQ172" s="151"/>
      <c r="CR172" s="482"/>
      <c r="CS172" s="151"/>
      <c r="CT172" s="151"/>
      <c r="CU172" s="151"/>
      <c r="CV172" s="150"/>
      <c r="CW172" s="151"/>
      <c r="CX172" s="151"/>
      <c r="CY172" s="151"/>
      <c r="CZ172" s="150"/>
      <c r="DA172" s="151"/>
      <c r="DB172" s="151"/>
      <c r="DC172" s="151"/>
      <c r="DD172" s="150"/>
      <c r="DE172" s="151"/>
      <c r="DF172" s="151"/>
      <c r="DG172" s="151"/>
      <c r="DH172" s="150"/>
      <c r="DI172" s="151"/>
      <c r="DJ172" s="151"/>
      <c r="DK172" s="151"/>
      <c r="DL172" s="150"/>
      <c r="DM172" s="151"/>
      <c r="DN172" s="151"/>
      <c r="DO172" s="151"/>
      <c r="DP172" s="150"/>
      <c r="DQ172" s="151"/>
      <c r="DR172" s="151"/>
      <c r="DS172" s="151"/>
      <c r="DT172" s="156"/>
      <c r="DU172" s="156"/>
      <c r="DV172" s="63"/>
      <c r="DW172" s="156"/>
      <c r="DX172" s="63"/>
      <c r="DY172" s="156"/>
      <c r="DZ172" s="156"/>
      <c r="EA172" s="156"/>
      <c r="EB172" s="156"/>
      <c r="EC172" s="156"/>
      <c r="ED172" s="156"/>
      <c r="EE172" s="156"/>
      <c r="EF172" s="156"/>
      <c r="EG172" s="156"/>
      <c r="EH172" s="156"/>
      <c r="EI172" s="156"/>
      <c r="EJ172" s="156"/>
      <c r="EK172" s="156"/>
      <c r="EL172" s="156"/>
      <c r="EM172" s="156"/>
      <c r="EN172" s="156"/>
      <c r="EO172" s="156"/>
      <c r="EP172" s="156"/>
      <c r="EQ172" s="156"/>
      <c r="ER172" s="156"/>
      <c r="ES172" s="156"/>
      <c r="ET172" s="156"/>
      <c r="EU172" s="156"/>
      <c r="EV172" s="156"/>
      <c r="EW172" s="156"/>
      <c r="EX172" s="156"/>
      <c r="EY172" s="156"/>
      <c r="EZ172" s="156"/>
      <c r="FA172" s="156"/>
      <c r="FB172" s="156"/>
      <c r="FC172" s="156"/>
      <c r="FD172" s="156"/>
      <c r="FE172" s="156"/>
      <c r="FF172" s="156"/>
      <c r="FG172" s="156"/>
      <c r="FH172" s="156"/>
      <c r="FI172" s="156"/>
      <c r="FJ172" s="156"/>
      <c r="FK172" s="156"/>
      <c r="FL172" s="156"/>
      <c r="FM172" s="156"/>
    </row>
    <row r="173" spans="1:128" ht="15.75">
      <c r="A173" s="70" t="s">
        <v>121</v>
      </c>
      <c r="B173" s="70" t="s">
        <v>57</v>
      </c>
      <c r="C173" s="71">
        <v>257.792</v>
      </c>
      <c r="D173" s="71">
        <v>230.608</v>
      </c>
      <c r="E173" s="71">
        <v>228.35199999999998</v>
      </c>
      <c r="F173" s="72">
        <v>209.394</v>
      </c>
      <c r="G173" s="73">
        <v>239.569</v>
      </c>
      <c r="H173" s="71">
        <v>216.131</v>
      </c>
      <c r="I173" s="71">
        <v>164.90000000000006</v>
      </c>
      <c r="J173" s="72">
        <f>J175</f>
        <v>224.10000000000002</v>
      </c>
      <c r="K173" s="75">
        <f aca="true" t="shared" si="552" ref="K173:Q173">K175+K177+K179</f>
        <v>255.1</v>
      </c>
      <c r="L173" s="75">
        <f t="shared" si="552"/>
        <v>232.00000000000003</v>
      </c>
      <c r="M173" s="75">
        <f t="shared" si="552"/>
        <v>226.10000000000005</v>
      </c>
      <c r="N173" s="272">
        <f t="shared" si="552"/>
        <v>213.00000000000003</v>
      </c>
      <c r="O173" s="74">
        <f t="shared" si="552"/>
        <v>251.51</v>
      </c>
      <c r="P173" s="75">
        <f t="shared" si="552"/>
        <v>243.35340000000002</v>
      </c>
      <c r="Q173" s="75">
        <f t="shared" si="552"/>
        <v>129.43659999999994</v>
      </c>
      <c r="R173" s="272">
        <f aca="true" t="shared" si="553" ref="R173:W173">R175+R177+R179</f>
        <v>262.72</v>
      </c>
      <c r="S173" s="74">
        <f t="shared" si="553"/>
        <v>261.5</v>
      </c>
      <c r="T173" s="75">
        <f t="shared" si="553"/>
        <v>236.5</v>
      </c>
      <c r="U173" s="75">
        <f t="shared" si="553"/>
        <v>228.29999999999995</v>
      </c>
      <c r="V173" s="75">
        <f t="shared" si="553"/>
        <v>256.22264000000007</v>
      </c>
      <c r="W173" s="74">
        <f t="shared" si="553"/>
        <v>258.2996</v>
      </c>
      <c r="X173" s="75">
        <f aca="true" t="shared" si="554" ref="X173:AC173">X175+X177+X179</f>
        <v>243.88490000000002</v>
      </c>
      <c r="Y173" s="75">
        <f t="shared" si="554"/>
        <v>185.8155</v>
      </c>
      <c r="Z173" s="75">
        <f t="shared" si="554"/>
        <v>186.2000000000001</v>
      </c>
      <c r="AA173" s="74">
        <f t="shared" si="554"/>
        <v>266.221</v>
      </c>
      <c r="AB173" s="75">
        <f t="shared" si="554"/>
        <v>262.51120000000003</v>
      </c>
      <c r="AC173" s="75">
        <f t="shared" si="554"/>
        <v>257.8678</v>
      </c>
      <c r="AD173" s="75">
        <f aca="true" t="shared" si="555" ref="AD173:AI173">AD175+AD177+AD179</f>
        <v>276.19999999999993</v>
      </c>
      <c r="AE173" s="74">
        <f t="shared" si="555"/>
        <v>277.873</v>
      </c>
      <c r="AF173" s="75">
        <f t="shared" si="555"/>
        <v>264.7512</v>
      </c>
      <c r="AG173" s="75">
        <f t="shared" si="555"/>
        <v>269.27579999999995</v>
      </c>
      <c r="AH173" s="75">
        <f t="shared" si="555"/>
        <v>248.1000000000002</v>
      </c>
      <c r="AI173" s="376">
        <f t="shared" si="555"/>
        <v>301.07</v>
      </c>
      <c r="AJ173" s="75">
        <f aca="true" t="shared" si="556" ref="AJ173:AO173">AJ175+AJ177+AJ179</f>
        <v>308.93</v>
      </c>
      <c r="AK173" s="75">
        <f t="shared" si="556"/>
        <v>301.6960000000001</v>
      </c>
      <c r="AL173" s="75">
        <f t="shared" si="556"/>
        <v>302.08599999999973</v>
      </c>
      <c r="AM173" s="376">
        <f t="shared" si="556"/>
        <v>298.487</v>
      </c>
      <c r="AN173" s="75">
        <f t="shared" si="556"/>
        <v>284.6999999999999</v>
      </c>
      <c r="AO173" s="75">
        <f t="shared" si="556"/>
        <v>292.25100000000003</v>
      </c>
      <c r="AP173" s="75">
        <f aca="true" t="shared" si="557" ref="AP173:AW173">AP175+AP177+AP179</f>
        <v>280.5230000000001</v>
      </c>
      <c r="AQ173" s="376">
        <f t="shared" si="557"/>
        <v>312.591</v>
      </c>
      <c r="AR173" s="75">
        <f t="shared" si="557"/>
        <v>304.6600000000001</v>
      </c>
      <c r="AS173" s="75">
        <f t="shared" si="557"/>
        <v>310.11339999999996</v>
      </c>
      <c r="AT173" s="75">
        <f t="shared" si="557"/>
        <v>87.62279999999998</v>
      </c>
      <c r="AU173" s="376">
        <f t="shared" si="557"/>
        <v>334.58820000000003</v>
      </c>
      <c r="AV173" s="75">
        <f t="shared" si="557"/>
        <v>324.4646</v>
      </c>
      <c r="AW173" s="75">
        <f t="shared" si="557"/>
        <v>332.5099</v>
      </c>
      <c r="AX173" s="272">
        <f>AX175+AX177+AX179</f>
        <v>310.5994999999999</v>
      </c>
      <c r="AY173" s="588">
        <f>AY175</f>
        <v>325.65799999999996</v>
      </c>
      <c r="AZ173" s="606">
        <f>AZ175</f>
        <v>313.9781</v>
      </c>
      <c r="BA173" s="75">
        <f>BA175+BA177+BA179</f>
        <v>308.5451</v>
      </c>
      <c r="BB173" s="272">
        <f>BB175+BB177+BB179</f>
        <v>310.75169999999986</v>
      </c>
      <c r="BC173" s="588">
        <f>BC175</f>
        <v>361.9463</v>
      </c>
      <c r="BD173" s="606">
        <f>BD175</f>
        <v>325.0229</v>
      </c>
      <c r="BE173" s="606">
        <f>BE175</f>
        <v>329.75989999999985</v>
      </c>
      <c r="BF173" s="272">
        <f>BF175+BF177+BF179</f>
        <v>287.5800000000001</v>
      </c>
      <c r="BG173" s="588">
        <f>BG175</f>
        <v>375.8137</v>
      </c>
      <c r="BH173" s="606">
        <f>BH175</f>
        <v>351.9569000000001</v>
      </c>
      <c r="BI173" s="606">
        <f>BI175</f>
        <v>348.84370000000007</v>
      </c>
      <c r="BJ173" s="606">
        <f>BJ175</f>
        <v>345.2850529999999</v>
      </c>
      <c r="BK173" s="519"/>
      <c r="BL173" s="77">
        <v>250.56529</v>
      </c>
      <c r="BM173" s="77">
        <v>228.93471</v>
      </c>
      <c r="BN173" s="77">
        <v>224.48665400000004</v>
      </c>
      <c r="BO173" s="78">
        <v>185.43121999999994</v>
      </c>
      <c r="BP173" s="79">
        <v>221</v>
      </c>
      <c r="BQ173" s="80">
        <v>210.89999999999998</v>
      </c>
      <c r="BR173" s="80">
        <v>158.30000000000007</v>
      </c>
      <c r="BS173" s="81">
        <f>Annually!AC182-SUM(Quarterly!BP173:BR173)</f>
        <v>182.79999999999995</v>
      </c>
      <c r="BT173" s="82">
        <f>BT175</f>
        <v>256.2</v>
      </c>
      <c r="BU173" s="83">
        <f>BU175</f>
        <v>218.40000000000003</v>
      </c>
      <c r="BV173" s="83">
        <v>212.60000000000002</v>
      </c>
      <c r="BW173" s="84">
        <f>Annually!AD182-Quarterly!BV173-Quarterly!BU173-Quarterly!BT173</f>
        <v>191.14774999999997</v>
      </c>
      <c r="BX173" s="83">
        <f aca="true" t="shared" si="558" ref="BX173:CE173">BX175</f>
        <v>232.2</v>
      </c>
      <c r="BY173" s="83">
        <f t="shared" si="558"/>
        <v>235</v>
      </c>
      <c r="BZ173" s="83">
        <f t="shared" si="558"/>
        <v>134.8</v>
      </c>
      <c r="CA173" s="85">
        <f t="shared" si="558"/>
        <v>228.70000000000005</v>
      </c>
      <c r="CB173" s="82">
        <f t="shared" si="558"/>
        <v>243.3</v>
      </c>
      <c r="CC173" s="83">
        <f t="shared" si="558"/>
        <v>239.09999999999997</v>
      </c>
      <c r="CD173" s="83">
        <f t="shared" si="558"/>
        <v>214.70000000000005</v>
      </c>
      <c r="CE173" s="83">
        <f t="shared" si="558"/>
        <v>245.27224999999999</v>
      </c>
      <c r="CF173" s="82">
        <f aca="true" t="shared" si="559" ref="CF173:CN173">CF175</f>
        <v>224.94355000000002</v>
      </c>
      <c r="CG173" s="83">
        <f t="shared" si="559"/>
        <v>235.78076999999996</v>
      </c>
      <c r="CH173" s="83">
        <f t="shared" si="559"/>
        <v>206.97568000000007</v>
      </c>
      <c r="CI173" s="83">
        <f t="shared" si="559"/>
        <v>158.50000000000006</v>
      </c>
      <c r="CJ173" s="82">
        <f t="shared" si="559"/>
        <v>246.89368</v>
      </c>
      <c r="CK173" s="86">
        <f t="shared" si="559"/>
        <v>264.59271</v>
      </c>
      <c r="CL173" s="86">
        <f t="shared" si="559"/>
        <v>245.61361000000002</v>
      </c>
      <c r="CM173" s="408">
        <f>CM175</f>
        <v>272.9999999999999</v>
      </c>
      <c r="CN173" s="82">
        <f t="shared" si="559"/>
        <v>251.5049</v>
      </c>
      <c r="CO173" s="86">
        <f aca="true" t="shared" si="560" ref="CO173:CT173">CO175</f>
        <v>274.53047000000004</v>
      </c>
      <c r="CP173" s="86">
        <f t="shared" si="560"/>
        <v>266.96462999999994</v>
      </c>
      <c r="CQ173" s="86">
        <f t="shared" si="560"/>
        <v>214.50000000000003</v>
      </c>
      <c r="CR173" s="481">
        <f t="shared" si="560"/>
        <v>190.2355</v>
      </c>
      <c r="CS173" s="83">
        <f t="shared" si="560"/>
        <v>167.61523</v>
      </c>
      <c r="CT173" s="83">
        <f t="shared" si="560"/>
        <v>159.36440000000005</v>
      </c>
      <c r="CU173" s="86">
        <f aca="true" t="shared" si="561" ref="CU173:CZ173">CU175</f>
        <v>70.95279999999991</v>
      </c>
      <c r="CV173" s="82">
        <f t="shared" si="561"/>
        <v>226.44869999999997</v>
      </c>
      <c r="CW173" s="83">
        <f t="shared" si="561"/>
        <v>254.15262</v>
      </c>
      <c r="CX173" s="83">
        <f t="shared" si="561"/>
        <v>271.69837000000007</v>
      </c>
      <c r="CY173" s="83">
        <f t="shared" si="561"/>
        <v>290.1848499999998</v>
      </c>
      <c r="CZ173" s="82">
        <f t="shared" si="561"/>
        <v>316.27724</v>
      </c>
      <c r="DA173" s="83">
        <f aca="true" t="shared" si="562" ref="DA173:DF173">DA175</f>
        <v>296.18768</v>
      </c>
      <c r="DB173" s="83">
        <f t="shared" si="562"/>
        <v>304.27204000000006</v>
      </c>
      <c r="DC173" s="83">
        <f t="shared" si="562"/>
        <v>102.00339999999994</v>
      </c>
      <c r="DD173" s="82">
        <f t="shared" si="562"/>
        <v>332.57028</v>
      </c>
      <c r="DE173" s="83">
        <f t="shared" si="562"/>
        <v>312.10254999999995</v>
      </c>
      <c r="DF173" s="83">
        <f t="shared" si="562"/>
        <v>322.03216</v>
      </c>
      <c r="DG173" s="83">
        <f aca="true" t="shared" si="563" ref="DG173:DL173">DG175</f>
        <v>327.40412000000015</v>
      </c>
      <c r="DH173" s="82">
        <f t="shared" si="563"/>
        <v>323.01833999999997</v>
      </c>
      <c r="DI173" s="83">
        <f t="shared" si="563"/>
        <v>302.23663</v>
      </c>
      <c r="DJ173" s="83">
        <f t="shared" si="563"/>
        <v>299.18093</v>
      </c>
      <c r="DK173" s="83">
        <f t="shared" si="563"/>
        <v>332.30945999999994</v>
      </c>
      <c r="DL173" s="82">
        <f t="shared" si="563"/>
        <v>371.33914</v>
      </c>
      <c r="DM173" s="83">
        <f aca="true" t="shared" si="564" ref="DM173:DR173">DM175</f>
        <v>249.87939999999998</v>
      </c>
      <c r="DN173" s="83">
        <f t="shared" si="564"/>
        <v>359.76099000000005</v>
      </c>
      <c r="DO173" s="83">
        <f t="shared" si="564"/>
        <v>262.04630000000003</v>
      </c>
      <c r="DP173" s="82">
        <f t="shared" si="564"/>
        <v>408.24051999999995</v>
      </c>
      <c r="DQ173" s="83">
        <f t="shared" si="564"/>
        <v>279.62754500000005</v>
      </c>
      <c r="DR173" s="83">
        <f t="shared" si="564"/>
        <v>342.94803549999995</v>
      </c>
      <c r="DS173" s="83">
        <f>DS175</f>
        <v>396.0191799999999</v>
      </c>
      <c r="DV173" s="63"/>
      <c r="DX173" s="63"/>
    </row>
    <row r="174" spans="1:128" ht="15.75">
      <c r="A174" s="100" t="s">
        <v>104</v>
      </c>
      <c r="B174" s="100" t="s">
        <v>93</v>
      </c>
      <c r="C174" s="101">
        <v>13.1</v>
      </c>
      <c r="D174" s="101">
        <v>2.5</v>
      </c>
      <c r="E174" s="101">
        <v>6.226799999999999</v>
      </c>
      <c r="F174" s="102">
        <v>18.251200000000004</v>
      </c>
      <c r="G174" s="103">
        <v>8.1</v>
      </c>
      <c r="H174" s="101">
        <v>8.500000000000002</v>
      </c>
      <c r="I174" s="101">
        <v>3.8999999999999986</v>
      </c>
      <c r="J174" s="102">
        <f>Annually!H183-SUM(G174:I174)</f>
        <v>25.6</v>
      </c>
      <c r="K174" s="181">
        <f aca="true" t="shared" si="565" ref="K174:U174">K176+K178</f>
        <v>25.9</v>
      </c>
      <c r="L174" s="181">
        <f t="shared" si="565"/>
        <v>8.5</v>
      </c>
      <c r="M174" s="181">
        <f t="shared" si="565"/>
        <v>7.5</v>
      </c>
      <c r="N174" s="273">
        <f t="shared" si="565"/>
        <v>13.300000000000004</v>
      </c>
      <c r="O174" s="180">
        <f t="shared" si="565"/>
        <v>26.3</v>
      </c>
      <c r="P174" s="181">
        <f t="shared" si="565"/>
        <v>-0.49686000000000163</v>
      </c>
      <c r="Q174" s="181">
        <f t="shared" si="565"/>
        <v>6.4968599999999945</v>
      </c>
      <c r="R174" s="273">
        <f t="shared" si="565"/>
        <v>20.1</v>
      </c>
      <c r="S174" s="180">
        <f t="shared" si="565"/>
        <v>16.4</v>
      </c>
      <c r="T174" s="181">
        <f t="shared" si="565"/>
        <v>10.8</v>
      </c>
      <c r="U174" s="181">
        <f t="shared" si="565"/>
        <v>13.400000000000002</v>
      </c>
      <c r="V174" s="181">
        <f aca="true" t="shared" si="566" ref="V174:AC174">V176+V178</f>
        <v>19.305770000000003</v>
      </c>
      <c r="W174" s="180">
        <f t="shared" si="566"/>
        <v>19.55718</v>
      </c>
      <c r="X174" s="181">
        <f t="shared" si="566"/>
        <v>11.111170000000001</v>
      </c>
      <c r="Y174" s="181">
        <f t="shared" si="566"/>
        <v>2.431650000000001</v>
      </c>
      <c r="Z174" s="181">
        <f t="shared" si="566"/>
        <v>18.599999999999998</v>
      </c>
      <c r="AA174" s="180">
        <f t="shared" si="566"/>
        <v>10.9559</v>
      </c>
      <c r="AB174" s="181">
        <f t="shared" si="566"/>
        <v>4.3300100000000015</v>
      </c>
      <c r="AC174" s="181">
        <f t="shared" si="566"/>
        <v>3.31409</v>
      </c>
      <c r="AD174" s="181">
        <f aca="true" t="shared" si="567" ref="AD174:AI174">AD176+AD178</f>
        <v>13.5</v>
      </c>
      <c r="AE174" s="180">
        <f t="shared" si="567"/>
        <v>6.8724</v>
      </c>
      <c r="AF174" s="181">
        <f t="shared" si="567"/>
        <v>6.3863400000000015</v>
      </c>
      <c r="AG174" s="181">
        <f t="shared" si="567"/>
        <v>4.341260000000001</v>
      </c>
      <c r="AH174" s="181">
        <f t="shared" si="567"/>
        <v>30.199999999999996</v>
      </c>
      <c r="AI174" s="467">
        <f t="shared" si="567"/>
        <v>115.50485799999998</v>
      </c>
      <c r="AJ174" s="181">
        <f aca="true" t="shared" si="568" ref="AJ174:AO174">AJ176+AJ178</f>
        <v>137.49514200000002</v>
      </c>
      <c r="AK174" s="181">
        <f t="shared" si="568"/>
        <v>142.47526800000006</v>
      </c>
      <c r="AL174" s="181">
        <f t="shared" si="568"/>
        <v>201.631402</v>
      </c>
      <c r="AM174" s="467">
        <f t="shared" si="568"/>
        <v>97.1977</v>
      </c>
      <c r="AN174" s="181">
        <f t="shared" si="568"/>
        <v>9.965625000000003</v>
      </c>
      <c r="AO174" s="181">
        <f t="shared" si="568"/>
        <v>19.695999999999998</v>
      </c>
      <c r="AP174" s="181">
        <f aca="true" t="shared" si="569" ref="AP174:AZ174">AP176+AP178</f>
        <v>17.42000000000003</v>
      </c>
      <c r="AQ174" s="467">
        <f t="shared" si="569"/>
        <v>0</v>
      </c>
      <c r="AR174" s="181">
        <f t="shared" si="569"/>
        <v>0</v>
      </c>
      <c r="AS174" s="181">
        <f t="shared" si="569"/>
        <v>4.9456</v>
      </c>
      <c r="AT174" s="181">
        <f t="shared" si="569"/>
        <v>0.1589999999999998</v>
      </c>
      <c r="AU174" s="467">
        <f t="shared" si="569"/>
        <v>0</v>
      </c>
      <c r="AV174" s="181">
        <f t="shared" si="569"/>
        <v>0</v>
      </c>
      <c r="AW174" s="181">
        <f t="shared" si="569"/>
        <v>0</v>
      </c>
      <c r="AX174" s="273">
        <f>AX176+AX178</f>
        <v>0</v>
      </c>
      <c r="AY174" s="467">
        <f t="shared" si="569"/>
        <v>0</v>
      </c>
      <c r="AZ174" s="181">
        <f t="shared" si="569"/>
        <v>0</v>
      </c>
      <c r="BA174" s="181">
        <f aca="true" t="shared" si="570" ref="BA174:BF174">BA176+BA178</f>
        <v>0</v>
      </c>
      <c r="BB174" s="273">
        <f t="shared" si="570"/>
        <v>0</v>
      </c>
      <c r="BC174" s="467">
        <f t="shared" si="570"/>
        <v>0</v>
      </c>
      <c r="BD174" s="181">
        <f t="shared" si="570"/>
        <v>0</v>
      </c>
      <c r="BE174" s="181">
        <f t="shared" si="570"/>
        <v>4.245233</v>
      </c>
      <c r="BF174" s="273">
        <f t="shared" si="570"/>
        <v>11.257670000000001</v>
      </c>
      <c r="BG174" s="467">
        <f>BG176+BG178</f>
        <v>0</v>
      </c>
      <c r="BH174" s="181">
        <f>BH176+BH178</f>
        <v>0</v>
      </c>
      <c r="BI174" s="181">
        <f>BI176+BI178</f>
        <v>0</v>
      </c>
      <c r="BJ174" s="181">
        <f>BJ176+BJ178</f>
        <v>0</v>
      </c>
      <c r="BK174" s="519"/>
      <c r="BL174" s="158"/>
      <c r="BM174" s="158"/>
      <c r="BN174" s="158"/>
      <c r="BO174" s="159"/>
      <c r="BP174" s="160"/>
      <c r="BQ174" s="161"/>
      <c r="BR174" s="161"/>
      <c r="BS174" s="162"/>
      <c r="BT174" s="163"/>
      <c r="BU174" s="164"/>
      <c r="BV174" s="164"/>
      <c r="BW174" s="84"/>
      <c r="BX174" s="82"/>
      <c r="BY174" s="83"/>
      <c r="BZ174" s="83"/>
      <c r="CA174" s="85"/>
      <c r="CB174" s="82"/>
      <c r="CC174" s="83"/>
      <c r="CD174" s="83"/>
      <c r="CE174" s="83"/>
      <c r="CF174" s="82"/>
      <c r="CG174" s="83"/>
      <c r="CH174" s="83"/>
      <c r="CI174" s="83"/>
      <c r="CJ174" s="82"/>
      <c r="CK174" s="83"/>
      <c r="CL174" s="83"/>
      <c r="CM174" s="85"/>
      <c r="CN174" s="82"/>
      <c r="CO174" s="83"/>
      <c r="CP174" s="83"/>
      <c r="CQ174" s="83"/>
      <c r="CR174" s="481"/>
      <c r="CS174" s="83"/>
      <c r="CT174" s="83"/>
      <c r="CU174" s="83"/>
      <c r="CV174" s="82"/>
      <c r="CW174" s="83"/>
      <c r="CX174" s="83"/>
      <c r="CY174" s="83"/>
      <c r="CZ174" s="82"/>
      <c r="DA174" s="83"/>
      <c r="DB174" s="83"/>
      <c r="DC174" s="83"/>
      <c r="DD174" s="82"/>
      <c r="DE174" s="83"/>
      <c r="DF174" s="83"/>
      <c r="DG174" s="83"/>
      <c r="DH174" s="82"/>
      <c r="DI174" s="83"/>
      <c r="DJ174" s="83"/>
      <c r="DK174" s="83"/>
      <c r="DL174" s="82"/>
      <c r="DM174" s="83"/>
      <c r="DN174" s="83"/>
      <c r="DO174" s="83"/>
      <c r="DP174" s="82"/>
      <c r="DQ174" s="83"/>
      <c r="DR174" s="83"/>
      <c r="DS174" s="83"/>
      <c r="DV174" s="63"/>
      <c r="DX174" s="63"/>
    </row>
    <row r="175" spans="1:128" ht="15.75">
      <c r="A175" s="116" t="s">
        <v>122</v>
      </c>
      <c r="B175" s="117" t="s">
        <v>60</v>
      </c>
      <c r="C175" s="118">
        <v>257.792</v>
      </c>
      <c r="D175" s="118">
        <v>230.608</v>
      </c>
      <c r="E175" s="118">
        <v>228.35199999999998</v>
      </c>
      <c r="F175" s="119">
        <v>209.394</v>
      </c>
      <c r="G175" s="120">
        <v>239.6</v>
      </c>
      <c r="H175" s="118">
        <v>216.1</v>
      </c>
      <c r="I175" s="118">
        <v>164.9</v>
      </c>
      <c r="J175" s="119">
        <f>Annually!H184-SUM(G175:I175)</f>
        <v>224.10000000000002</v>
      </c>
      <c r="K175" s="184">
        <v>255.1</v>
      </c>
      <c r="L175" s="185">
        <v>232.00000000000003</v>
      </c>
      <c r="M175" s="185">
        <v>226.10000000000005</v>
      </c>
      <c r="N175" s="274">
        <f>Annually!I184-M175-L175-K175</f>
        <v>213.00000000000003</v>
      </c>
      <c r="O175" s="184">
        <v>251.51</v>
      </c>
      <c r="P175" s="185">
        <f>494.8634-O175</f>
        <v>243.35340000000002</v>
      </c>
      <c r="Q175" s="185">
        <v>129.43659999999994</v>
      </c>
      <c r="R175" s="274">
        <f>-Q175-P175-O175+Annually!J184</f>
        <v>262.72</v>
      </c>
      <c r="S175" s="184">
        <v>261.5</v>
      </c>
      <c r="T175" s="185">
        <v>236.5</v>
      </c>
      <c r="U175" s="185">
        <v>228.29999999999995</v>
      </c>
      <c r="V175" s="185">
        <v>256.22264000000007</v>
      </c>
      <c r="W175" s="184">
        <v>258.2996</v>
      </c>
      <c r="X175" s="185">
        <v>243.88490000000002</v>
      </c>
      <c r="Y175" s="185">
        <v>185.8155</v>
      </c>
      <c r="Z175" s="185">
        <f>Annually!L184-Y175-X175-W175</f>
        <v>186.2000000000001</v>
      </c>
      <c r="AA175" s="184">
        <v>266.221</v>
      </c>
      <c r="AB175" s="185">
        <v>262.51120000000003</v>
      </c>
      <c r="AC175" s="185">
        <v>257.8678</v>
      </c>
      <c r="AD175" s="185">
        <f>Annually!M184-AC175-AB175-AA175</f>
        <v>276.19999999999993</v>
      </c>
      <c r="AE175" s="184">
        <v>277.873</v>
      </c>
      <c r="AF175" s="185">
        <v>264.7512</v>
      </c>
      <c r="AG175" s="257">
        <v>269.27579999999995</v>
      </c>
      <c r="AH175" s="185">
        <f>Annually!N184-AG175-AF175-AE175</f>
        <v>248.1000000000002</v>
      </c>
      <c r="AI175" s="468">
        <v>301.07</v>
      </c>
      <c r="AJ175" s="185">
        <v>308.93</v>
      </c>
      <c r="AK175" s="185">
        <v>301.6960000000001</v>
      </c>
      <c r="AL175" s="185">
        <f>Annually!O184-AK175-AJ175-AI175</f>
        <v>302.08599999999973</v>
      </c>
      <c r="AM175" s="468">
        <v>298.487</v>
      </c>
      <c r="AN175" s="185">
        <v>284.6999999999999</v>
      </c>
      <c r="AO175" s="185">
        <v>292.25100000000003</v>
      </c>
      <c r="AP175" s="181">
        <f>Annually!P184-AM175-AN175-AO175</f>
        <v>280.5230000000001</v>
      </c>
      <c r="AQ175" s="468">
        <v>312.591</v>
      </c>
      <c r="AR175" s="185">
        <v>304.6600000000001</v>
      </c>
      <c r="AS175" s="185">
        <v>310.11339999999996</v>
      </c>
      <c r="AT175" s="181">
        <f>Annually!Q184-AQ175-AR175-AS175</f>
        <v>87.62279999999998</v>
      </c>
      <c r="AU175" s="468">
        <v>334.58820000000003</v>
      </c>
      <c r="AV175" s="185">
        <v>324.4646</v>
      </c>
      <c r="AW175" s="252">
        <v>332.5099</v>
      </c>
      <c r="AX175" s="274">
        <f>Annually!R184-AU175-AV175-AW175</f>
        <v>310.5994999999999</v>
      </c>
      <c r="AY175" s="590">
        <v>325.65799999999996</v>
      </c>
      <c r="AZ175" s="571">
        <v>313.9781</v>
      </c>
      <c r="BA175" s="252">
        <v>308.5451</v>
      </c>
      <c r="BB175" s="274">
        <f>Annually!S184-AY175-AZ175-BA175</f>
        <v>310.75169999999986</v>
      </c>
      <c r="BC175" s="590">
        <v>361.9463</v>
      </c>
      <c r="BD175" s="571">
        <v>325.0229</v>
      </c>
      <c r="BE175" s="571">
        <v>329.75989999999985</v>
      </c>
      <c r="BF175" s="274">
        <f>Annually!T184-BC175-BD175-BE175</f>
        <v>287.5800000000001</v>
      </c>
      <c r="BG175" s="590">
        <v>375.8137</v>
      </c>
      <c r="BH175" s="571">
        <v>351.9569000000001</v>
      </c>
      <c r="BI175" s="571">
        <v>348.84370000000007</v>
      </c>
      <c r="BJ175" s="274">
        <f>Annually!U184-BG175-BH175-BI175</f>
        <v>345.2850529999999</v>
      </c>
      <c r="BK175" s="519"/>
      <c r="BL175" s="158">
        <v>250.56529</v>
      </c>
      <c r="BM175" s="158">
        <v>228.93471</v>
      </c>
      <c r="BN175" s="158">
        <v>224.48665400000004</v>
      </c>
      <c r="BO175" s="159">
        <v>185.43121999999994</v>
      </c>
      <c r="BP175" s="160">
        <v>221</v>
      </c>
      <c r="BQ175" s="161">
        <v>210.89999999999998</v>
      </c>
      <c r="BR175" s="161">
        <v>158.30000000000007</v>
      </c>
      <c r="BS175" s="162">
        <f>Annually!AC184-SUM(Quarterly!BP175:BR175)</f>
        <v>182.79999999999995</v>
      </c>
      <c r="BT175" s="163">
        <v>256.2</v>
      </c>
      <c r="BU175" s="164">
        <v>218.40000000000003</v>
      </c>
      <c r="BV175" s="164">
        <v>212.60000000000002</v>
      </c>
      <c r="BW175" s="165">
        <f>Annually!AD184-Quarterly!BV175-Quarterly!BU175-Quarterly!BT175</f>
        <v>191.14774999999997</v>
      </c>
      <c r="BX175" s="163">
        <v>232.2</v>
      </c>
      <c r="BY175" s="164">
        <f>467.2-BX175</f>
        <v>235</v>
      </c>
      <c r="BZ175" s="164">
        <v>134.8</v>
      </c>
      <c r="CA175" s="166">
        <f>-BZ175-BY175-BX175+Annually!AE184</f>
        <v>228.70000000000005</v>
      </c>
      <c r="CB175" s="163">
        <v>243.3</v>
      </c>
      <c r="CC175" s="164">
        <v>239.09999999999997</v>
      </c>
      <c r="CD175" s="164">
        <v>214.70000000000005</v>
      </c>
      <c r="CE175" s="164">
        <v>245.27224999999999</v>
      </c>
      <c r="CF175" s="163">
        <v>224.94355000000002</v>
      </c>
      <c r="CG175" s="164">
        <v>235.78076999999996</v>
      </c>
      <c r="CH175" s="164">
        <v>206.97568000000007</v>
      </c>
      <c r="CI175" s="164">
        <f>Annually!AG184-Quarterly!CH175-Quarterly!CG175-Quarterly!CF175</f>
        <v>158.50000000000006</v>
      </c>
      <c r="CJ175" s="163">
        <v>246.89368</v>
      </c>
      <c r="CK175" s="164">
        <v>264.59271</v>
      </c>
      <c r="CL175" s="164">
        <v>245.61361000000002</v>
      </c>
      <c r="CM175" s="166">
        <f>Annually!AH184-CL175-CK175-CJ175</f>
        <v>272.9999999999999</v>
      </c>
      <c r="CN175" s="163">
        <v>251.5049</v>
      </c>
      <c r="CO175" s="164">
        <v>274.53047000000004</v>
      </c>
      <c r="CP175" s="121">
        <v>266.96462999999994</v>
      </c>
      <c r="CQ175" s="164">
        <f>Annually!AI184-CP175-CO175-CN175</f>
        <v>214.50000000000003</v>
      </c>
      <c r="CR175" s="483">
        <v>190.2355</v>
      </c>
      <c r="CS175" s="164">
        <v>167.61523</v>
      </c>
      <c r="CT175" s="164">
        <v>159.36440000000005</v>
      </c>
      <c r="CU175" s="164">
        <f>Annually!AJ184-CT175-CS175-CR175</f>
        <v>70.95279999999991</v>
      </c>
      <c r="CV175" s="163">
        <v>226.44869999999997</v>
      </c>
      <c r="CW175" s="164">
        <v>254.15262</v>
      </c>
      <c r="CX175" s="164">
        <v>271.69837000000007</v>
      </c>
      <c r="CY175" s="164">
        <f>Annually!AK184-CX175-CW175-CV175</f>
        <v>290.1848499999998</v>
      </c>
      <c r="CZ175" s="163">
        <v>316.27724</v>
      </c>
      <c r="DA175" s="121">
        <v>296.18768</v>
      </c>
      <c r="DB175" s="121">
        <v>304.27204000000006</v>
      </c>
      <c r="DC175" s="164">
        <f>Annually!AL184-DB175-DA175-CZ175</f>
        <v>102.00339999999994</v>
      </c>
      <c r="DD175" s="163">
        <v>332.57028</v>
      </c>
      <c r="DE175" s="121">
        <v>312.10254999999995</v>
      </c>
      <c r="DF175" s="121">
        <v>322.03216</v>
      </c>
      <c r="DG175" s="164">
        <f>Annually!AM184-DF175-DE175-DD175</f>
        <v>327.40412000000015</v>
      </c>
      <c r="DH175" s="163">
        <v>323.01833999999997</v>
      </c>
      <c r="DI175" s="121">
        <v>302.23663</v>
      </c>
      <c r="DJ175" s="121">
        <v>299.18093</v>
      </c>
      <c r="DK175" s="164">
        <f>Annually!AN184-DJ175-DI175-DH175</f>
        <v>332.30945999999994</v>
      </c>
      <c r="DL175" s="163">
        <v>371.33914</v>
      </c>
      <c r="DM175" s="121">
        <v>249.87939999999998</v>
      </c>
      <c r="DN175" s="121">
        <v>359.76099000000005</v>
      </c>
      <c r="DO175" s="164">
        <f>Annually!AO184-DN175-DM175-DL175</f>
        <v>262.04630000000003</v>
      </c>
      <c r="DP175" s="163">
        <v>408.24051999999995</v>
      </c>
      <c r="DQ175" s="121">
        <v>279.62754500000005</v>
      </c>
      <c r="DR175" s="121">
        <v>342.94803549999995</v>
      </c>
      <c r="DS175" s="164">
        <f>Annually!AP184-DR175-DQ175-DP175</f>
        <v>396.0191799999999</v>
      </c>
      <c r="DV175" s="63"/>
      <c r="DX175" s="63"/>
    </row>
    <row r="176" spans="1:169" s="129" customFormat="1" ht="15">
      <c r="A176" s="100" t="s">
        <v>104</v>
      </c>
      <c r="B176" s="100" t="s">
        <v>93</v>
      </c>
      <c r="C176" s="101">
        <v>13.1</v>
      </c>
      <c r="D176" s="101">
        <v>2.5</v>
      </c>
      <c r="E176" s="101">
        <v>6.226799999999999</v>
      </c>
      <c r="F176" s="102">
        <v>18.251200000000004</v>
      </c>
      <c r="G176" s="103">
        <v>8.1</v>
      </c>
      <c r="H176" s="101">
        <v>8.500000000000002</v>
      </c>
      <c r="I176" s="101">
        <v>3.8999999999999986</v>
      </c>
      <c r="J176" s="102">
        <f>Annually!H185-SUM(G176:I176)</f>
        <v>25.6</v>
      </c>
      <c r="K176" s="180">
        <v>25.9</v>
      </c>
      <c r="L176" s="181">
        <v>8.5</v>
      </c>
      <c r="M176" s="181">
        <v>7.5</v>
      </c>
      <c r="N176" s="273">
        <f>Annually!I185-M176-L176-K176</f>
        <v>13.300000000000004</v>
      </c>
      <c r="O176" s="180">
        <v>26.3</v>
      </c>
      <c r="P176" s="181">
        <f>25.80314-O176</f>
        <v>-0.49686000000000163</v>
      </c>
      <c r="Q176" s="181">
        <v>6.4968599999999945</v>
      </c>
      <c r="R176" s="273">
        <f>-Q176-P176-O176+Annually!J185</f>
        <v>20.1</v>
      </c>
      <c r="S176" s="180">
        <v>16.4</v>
      </c>
      <c r="T176" s="181">
        <v>10.8</v>
      </c>
      <c r="U176" s="181">
        <v>13.400000000000002</v>
      </c>
      <c r="V176" s="181">
        <v>19.305770000000003</v>
      </c>
      <c r="W176" s="180">
        <v>19.55718</v>
      </c>
      <c r="X176" s="181">
        <v>11.111170000000001</v>
      </c>
      <c r="Y176" s="181">
        <v>2.431650000000001</v>
      </c>
      <c r="Z176" s="181">
        <f>Annually!L185-Y176-X176-W176</f>
        <v>18.599999999999998</v>
      </c>
      <c r="AA176" s="180">
        <v>10.9559</v>
      </c>
      <c r="AB176" s="181">
        <v>4.3300100000000015</v>
      </c>
      <c r="AC176" s="181">
        <v>3.31409</v>
      </c>
      <c r="AD176" s="181">
        <f>Annually!M185-AC176-AB176-AA176</f>
        <v>13.5</v>
      </c>
      <c r="AE176" s="180">
        <v>6.8724</v>
      </c>
      <c r="AF176" s="181">
        <v>6.3863400000000015</v>
      </c>
      <c r="AG176" s="257">
        <v>4.341260000000001</v>
      </c>
      <c r="AH176" s="181">
        <f>Annually!N185-AG176-AF176-AE176</f>
        <v>30.199999999999996</v>
      </c>
      <c r="AI176" s="467">
        <v>115.50485799999998</v>
      </c>
      <c r="AJ176" s="181">
        <v>137.49514200000002</v>
      </c>
      <c r="AK176" s="181">
        <v>142.47526800000006</v>
      </c>
      <c r="AL176" s="181">
        <f>Annually!O185-AK176-AJ176-AI176</f>
        <v>201.631402</v>
      </c>
      <c r="AM176" s="467">
        <v>97.1977</v>
      </c>
      <c r="AN176" s="181">
        <v>9.965625000000003</v>
      </c>
      <c r="AO176" s="181">
        <v>19.695999999999998</v>
      </c>
      <c r="AP176" s="181">
        <f>Annually!P185-AM176-AN176-AO176</f>
        <v>17.42000000000003</v>
      </c>
      <c r="AQ176" s="467">
        <v>0</v>
      </c>
      <c r="AR176" s="257">
        <v>0</v>
      </c>
      <c r="AS176" s="257">
        <v>4.9456</v>
      </c>
      <c r="AT176" s="181">
        <f>Annually!Q185-AQ176-AR176-AS176</f>
        <v>0.1589999999999998</v>
      </c>
      <c r="AU176" s="467">
        <v>0</v>
      </c>
      <c r="AV176" s="257">
        <v>0</v>
      </c>
      <c r="AW176" s="257">
        <v>0</v>
      </c>
      <c r="AX176" s="273">
        <f>Annually!R185-AU176-AV176-AW176</f>
        <v>0</v>
      </c>
      <c r="AY176" s="589">
        <v>0</v>
      </c>
      <c r="AZ176" s="570">
        <v>0</v>
      </c>
      <c r="BA176" s="257">
        <v>0</v>
      </c>
      <c r="BB176" s="273">
        <f>Annually!S185-AY176-AZ176-BA176</f>
        <v>0</v>
      </c>
      <c r="BC176" s="589">
        <v>0</v>
      </c>
      <c r="BD176" s="570">
        <v>0</v>
      </c>
      <c r="BE176" s="570">
        <v>4.245233</v>
      </c>
      <c r="BF176" s="273">
        <f>Annually!T185-BC176-BD176-BE176</f>
        <v>11.257670000000001</v>
      </c>
      <c r="BG176" s="589">
        <v>0</v>
      </c>
      <c r="BH176" s="570">
        <v>0</v>
      </c>
      <c r="BI176" s="570">
        <v>0</v>
      </c>
      <c r="BJ176" s="273">
        <f>Annually!U185-BG176-BH176-BI176</f>
        <v>0</v>
      </c>
      <c r="BK176" s="549"/>
      <c r="BL176" s="145"/>
      <c r="BM176" s="145"/>
      <c r="BN176" s="145"/>
      <c r="BO176" s="146"/>
      <c r="BP176" s="147"/>
      <c r="BQ176" s="148"/>
      <c r="BR176" s="148"/>
      <c r="BS176" s="149"/>
      <c r="BT176" s="150"/>
      <c r="BU176" s="151"/>
      <c r="BV176" s="151"/>
      <c r="BW176" s="152"/>
      <c r="BX176" s="153"/>
      <c r="BY176" s="154"/>
      <c r="BZ176" s="154"/>
      <c r="CA176" s="155"/>
      <c r="CB176" s="153"/>
      <c r="CC176" s="154"/>
      <c r="CD176" s="154"/>
      <c r="CE176" s="154"/>
      <c r="CF176" s="153"/>
      <c r="CG176" s="154"/>
      <c r="CH176" s="154"/>
      <c r="CI176" s="154"/>
      <c r="CJ176" s="153"/>
      <c r="CK176" s="154"/>
      <c r="CL176" s="154"/>
      <c r="CM176" s="155"/>
      <c r="CN176" s="153"/>
      <c r="CO176" s="154"/>
      <c r="CP176" s="154"/>
      <c r="CQ176" s="154"/>
      <c r="CR176" s="550"/>
      <c r="CS176" s="154"/>
      <c r="CT176" s="154"/>
      <c r="CU176" s="154"/>
      <c r="CV176" s="153"/>
      <c r="CW176" s="154"/>
      <c r="CX176" s="154"/>
      <c r="CY176" s="154"/>
      <c r="CZ176" s="153"/>
      <c r="DA176" s="154"/>
      <c r="DB176" s="154"/>
      <c r="DC176" s="154"/>
      <c r="DD176" s="153"/>
      <c r="DE176" s="154"/>
      <c r="DF176" s="154"/>
      <c r="DG176" s="154"/>
      <c r="DH176" s="153"/>
      <c r="DI176" s="154"/>
      <c r="DJ176" s="154"/>
      <c r="DK176" s="154"/>
      <c r="DL176" s="153"/>
      <c r="DM176" s="154"/>
      <c r="DN176" s="154"/>
      <c r="DO176" s="154"/>
      <c r="DP176" s="153"/>
      <c r="DQ176" s="154"/>
      <c r="DR176" s="154"/>
      <c r="DS176" s="154"/>
      <c r="DT176" s="156"/>
      <c r="DU176" s="156"/>
      <c r="DV176" s="127"/>
      <c r="DW176" s="156"/>
      <c r="DX176" s="127"/>
      <c r="DY176" s="156"/>
      <c r="DZ176" s="156"/>
      <c r="EA176" s="156"/>
      <c r="EB176" s="156"/>
      <c r="EC176" s="156"/>
      <c r="ED176" s="156"/>
      <c r="EE176" s="156"/>
      <c r="EF176" s="156"/>
      <c r="EG176" s="156"/>
      <c r="EH176" s="156"/>
      <c r="EI176" s="156"/>
      <c r="EJ176" s="156"/>
      <c r="EK176" s="156"/>
      <c r="EL176" s="156"/>
      <c r="EM176" s="156"/>
      <c r="EN176" s="156"/>
      <c r="EO176" s="156"/>
      <c r="EP176" s="156"/>
      <c r="EQ176" s="156"/>
      <c r="ER176" s="156"/>
      <c r="ES176" s="156"/>
      <c r="ET176" s="156"/>
      <c r="EU176" s="156"/>
      <c r="EV176" s="156"/>
      <c r="EW176" s="156"/>
      <c r="EX176" s="156"/>
      <c r="EY176" s="156"/>
      <c r="EZ176" s="156"/>
      <c r="FA176" s="156"/>
      <c r="FB176" s="156"/>
      <c r="FC176" s="156"/>
      <c r="FD176" s="156"/>
      <c r="FE176" s="156"/>
      <c r="FF176" s="156"/>
      <c r="FG176" s="156"/>
      <c r="FH176" s="156"/>
      <c r="FI176" s="156"/>
      <c r="FJ176" s="156"/>
      <c r="FK176" s="156"/>
      <c r="FL176" s="156"/>
      <c r="FM176" s="156"/>
    </row>
    <row r="177" spans="1:128" ht="15" customHeight="1" hidden="1">
      <c r="A177" s="117" t="s">
        <v>61</v>
      </c>
      <c r="B177" s="117" t="s">
        <v>62</v>
      </c>
      <c r="C177" s="118"/>
      <c r="D177" s="118"/>
      <c r="E177" s="118"/>
      <c r="F177" s="119"/>
      <c r="G177" s="120"/>
      <c r="H177" s="118">
        <v>0</v>
      </c>
      <c r="I177" s="118">
        <v>0</v>
      </c>
      <c r="J177" s="119">
        <f>Annually!H186-SUM(G177:I177)</f>
        <v>0</v>
      </c>
      <c r="K177" s="184"/>
      <c r="L177" s="185">
        <v>0</v>
      </c>
      <c r="M177" s="185">
        <v>0</v>
      </c>
      <c r="N177" s="274">
        <f>Annually!I186-M177-L177-K177</f>
        <v>0</v>
      </c>
      <c r="O177" s="184"/>
      <c r="P177" s="185"/>
      <c r="Q177" s="185">
        <v>0</v>
      </c>
      <c r="R177" s="274">
        <f>-Q177-P177-O177+Annually!J186</f>
        <v>0</v>
      </c>
      <c r="S177" s="184">
        <v>0</v>
      </c>
      <c r="T177" s="185">
        <v>0</v>
      </c>
      <c r="U177" s="185">
        <v>0</v>
      </c>
      <c r="V177" s="185">
        <v>0</v>
      </c>
      <c r="W177" s="184">
        <v>0</v>
      </c>
      <c r="X177" s="185"/>
      <c r="Y177" s="185"/>
      <c r="Z177" s="185"/>
      <c r="AA177" s="184"/>
      <c r="AB177" s="185"/>
      <c r="AC177" s="185"/>
      <c r="AD177" s="185"/>
      <c r="AE177" s="184"/>
      <c r="AF177" s="185"/>
      <c r="AG177" s="185"/>
      <c r="AH177" s="185"/>
      <c r="AI177" s="468"/>
      <c r="AJ177" s="185"/>
      <c r="AK177" s="185"/>
      <c r="AL177" s="185"/>
      <c r="AM177" s="468"/>
      <c r="AN177" s="185">
        <v>0</v>
      </c>
      <c r="AO177" s="185">
        <v>0</v>
      </c>
      <c r="AP177" s="185"/>
      <c r="AQ177" s="468"/>
      <c r="AR177" s="185">
        <v>0</v>
      </c>
      <c r="AS177" s="185"/>
      <c r="AT177" s="185"/>
      <c r="AU177" s="468"/>
      <c r="AV177" s="185"/>
      <c r="AW177" s="185"/>
      <c r="AX177" s="274"/>
      <c r="AY177" s="590"/>
      <c r="AZ177" s="571"/>
      <c r="BA177" s="185"/>
      <c r="BB177" s="274"/>
      <c r="BC177" s="590"/>
      <c r="BD177" s="571"/>
      <c r="BE177" s="571"/>
      <c r="BF177" s="274"/>
      <c r="BG177" s="590"/>
      <c r="BH177" s="571"/>
      <c r="BI177" s="571"/>
      <c r="BJ177" s="571"/>
      <c r="BK177" s="519"/>
      <c r="BL177" s="158"/>
      <c r="BM177" s="158"/>
      <c r="BN177" s="158"/>
      <c r="BO177" s="159"/>
      <c r="BP177" s="160"/>
      <c r="BQ177" s="161">
        <v>0</v>
      </c>
      <c r="BR177" s="161">
        <v>0</v>
      </c>
      <c r="BS177" s="162">
        <f>Annually!AC186-SUM(Quarterly!BP177:BR177)</f>
        <v>0</v>
      </c>
      <c r="BT177" s="163"/>
      <c r="BU177" s="164">
        <v>0</v>
      </c>
      <c r="BV177" s="164">
        <v>0</v>
      </c>
      <c r="BW177" s="165">
        <f>Annually!AD186-Quarterly!BV177-Quarterly!BU177-Quarterly!BT177</f>
        <v>0</v>
      </c>
      <c r="BX177" s="163"/>
      <c r="BY177" s="164"/>
      <c r="BZ177" s="164">
        <v>0</v>
      </c>
      <c r="CA177" s="166">
        <f>-BZ177-BY177-BX177+Annually!AE186</f>
        <v>0</v>
      </c>
      <c r="CB177" s="163"/>
      <c r="CC177" s="164"/>
      <c r="CD177" s="164"/>
      <c r="CE177" s="164">
        <v>0</v>
      </c>
      <c r="CF177" s="163"/>
      <c r="CG177" s="164"/>
      <c r="CH177" s="164"/>
      <c r="CI177" s="164"/>
      <c r="CJ177" s="163"/>
      <c r="CK177" s="164"/>
      <c r="CL177" s="164"/>
      <c r="CM177" s="166"/>
      <c r="CN177" s="163"/>
      <c r="CO177" s="164"/>
      <c r="CP177" s="164"/>
      <c r="CQ177" s="164"/>
      <c r="CR177" s="483"/>
      <c r="CS177" s="164"/>
      <c r="CT177" s="164"/>
      <c r="CU177" s="164"/>
      <c r="CV177" s="163"/>
      <c r="CW177" s="164"/>
      <c r="CX177" s="164"/>
      <c r="CY177" s="164"/>
      <c r="CZ177" s="163"/>
      <c r="DA177" s="164"/>
      <c r="DB177" s="164"/>
      <c r="DC177" s="164"/>
      <c r="DD177" s="163"/>
      <c r="DE177" s="164"/>
      <c r="DF177" s="164"/>
      <c r="DG177" s="164"/>
      <c r="DH177" s="163"/>
      <c r="DI177" s="164"/>
      <c r="DJ177" s="164"/>
      <c r="DK177" s="164"/>
      <c r="DL177" s="163"/>
      <c r="DM177" s="164"/>
      <c r="DN177" s="164"/>
      <c r="DO177" s="164"/>
      <c r="DP177" s="163"/>
      <c r="DQ177" s="164"/>
      <c r="DR177" s="164"/>
      <c r="DS177" s="164"/>
      <c r="DV177" s="63"/>
      <c r="DX177" s="63"/>
    </row>
    <row r="178" spans="1:128" ht="15" customHeight="1" hidden="1">
      <c r="A178" s="100" t="s">
        <v>99</v>
      </c>
      <c r="B178" s="186" t="s">
        <v>93</v>
      </c>
      <c r="C178" s="118"/>
      <c r="D178" s="118"/>
      <c r="E178" s="118"/>
      <c r="F178" s="119"/>
      <c r="G178" s="120"/>
      <c r="H178" s="118">
        <v>0</v>
      </c>
      <c r="I178" s="118">
        <v>0</v>
      </c>
      <c r="J178" s="119">
        <f>Annually!H187-SUM(G178:I178)</f>
        <v>0</v>
      </c>
      <c r="K178" s="184"/>
      <c r="L178" s="185">
        <v>0</v>
      </c>
      <c r="M178" s="185">
        <v>0</v>
      </c>
      <c r="N178" s="274">
        <f>Annually!I187-M178-L178-K178</f>
        <v>0</v>
      </c>
      <c r="O178" s="184"/>
      <c r="P178" s="185"/>
      <c r="Q178" s="185">
        <v>0</v>
      </c>
      <c r="R178" s="274">
        <f>-Q178-P178-O178+Annually!J187</f>
        <v>0</v>
      </c>
      <c r="S178" s="184">
        <v>0</v>
      </c>
      <c r="T178" s="185">
        <v>0</v>
      </c>
      <c r="U178" s="185">
        <v>0</v>
      </c>
      <c r="V178" s="185">
        <v>0</v>
      </c>
      <c r="W178" s="184">
        <v>0</v>
      </c>
      <c r="X178" s="185"/>
      <c r="Y178" s="185"/>
      <c r="Z178" s="185"/>
      <c r="AA178" s="184"/>
      <c r="AB178" s="185"/>
      <c r="AC178" s="185"/>
      <c r="AD178" s="185"/>
      <c r="AE178" s="184"/>
      <c r="AF178" s="185"/>
      <c r="AG178" s="185"/>
      <c r="AH178" s="185"/>
      <c r="AI178" s="468"/>
      <c r="AJ178" s="185"/>
      <c r="AK178" s="185"/>
      <c r="AL178" s="185"/>
      <c r="AM178" s="468"/>
      <c r="AN178" s="185">
        <v>0</v>
      </c>
      <c r="AO178" s="185">
        <v>0</v>
      </c>
      <c r="AP178" s="185"/>
      <c r="AQ178" s="468"/>
      <c r="AR178" s="185">
        <v>0</v>
      </c>
      <c r="AS178" s="185"/>
      <c r="AT178" s="185"/>
      <c r="AU178" s="468"/>
      <c r="AV178" s="185"/>
      <c r="AW178" s="185"/>
      <c r="AX178" s="274"/>
      <c r="AY178" s="590"/>
      <c r="AZ178" s="571"/>
      <c r="BA178" s="185"/>
      <c r="BB178" s="274"/>
      <c r="BC178" s="590"/>
      <c r="BD178" s="571"/>
      <c r="BE178" s="571"/>
      <c r="BF178" s="274"/>
      <c r="BG178" s="590"/>
      <c r="BH178" s="571"/>
      <c r="BI178" s="571"/>
      <c r="BJ178" s="571"/>
      <c r="BK178" s="519"/>
      <c r="BL178" s="158"/>
      <c r="BM178" s="158"/>
      <c r="BN178" s="158"/>
      <c r="BO178" s="159"/>
      <c r="BP178" s="160"/>
      <c r="BQ178" s="161">
        <v>0</v>
      </c>
      <c r="BR178" s="161">
        <v>0</v>
      </c>
      <c r="BS178" s="162">
        <f>Annually!AC187-SUM(Quarterly!BP178:BR178)</f>
        <v>0</v>
      </c>
      <c r="BT178" s="163"/>
      <c r="BU178" s="164">
        <v>0</v>
      </c>
      <c r="BV178" s="164">
        <v>0</v>
      </c>
      <c r="BW178" s="165">
        <f>Annually!AD187-Quarterly!BV178-Quarterly!BU178-Quarterly!BT178</f>
        <v>0</v>
      </c>
      <c r="BX178" s="163"/>
      <c r="BY178" s="164"/>
      <c r="BZ178" s="164">
        <v>0</v>
      </c>
      <c r="CA178" s="166">
        <f>-BZ178-BY178-BX178+Annually!AE187</f>
        <v>0</v>
      </c>
      <c r="CB178" s="163"/>
      <c r="CC178" s="164"/>
      <c r="CD178" s="164"/>
      <c r="CE178" s="164">
        <v>0</v>
      </c>
      <c r="CF178" s="163"/>
      <c r="CG178" s="164"/>
      <c r="CH178" s="164"/>
      <c r="CI178" s="164"/>
      <c r="CJ178" s="163"/>
      <c r="CK178" s="164"/>
      <c r="CL178" s="164"/>
      <c r="CM178" s="166"/>
      <c r="CN178" s="163"/>
      <c r="CO178" s="164"/>
      <c r="CP178" s="164"/>
      <c r="CQ178" s="164"/>
      <c r="CR178" s="483"/>
      <c r="CS178" s="164"/>
      <c r="CT178" s="164"/>
      <c r="CU178" s="164"/>
      <c r="CV178" s="163"/>
      <c r="CW178" s="164"/>
      <c r="CX178" s="164"/>
      <c r="CY178" s="164"/>
      <c r="CZ178" s="163"/>
      <c r="DA178" s="164"/>
      <c r="DB178" s="164"/>
      <c r="DC178" s="164"/>
      <c r="DD178" s="163"/>
      <c r="DE178" s="164"/>
      <c r="DF178" s="164"/>
      <c r="DG178" s="164"/>
      <c r="DH178" s="163"/>
      <c r="DI178" s="164"/>
      <c r="DJ178" s="164"/>
      <c r="DK178" s="164"/>
      <c r="DL178" s="163"/>
      <c r="DM178" s="164"/>
      <c r="DN178" s="164"/>
      <c r="DO178" s="164"/>
      <c r="DP178" s="163"/>
      <c r="DQ178" s="164"/>
      <c r="DR178" s="164"/>
      <c r="DS178" s="164"/>
      <c r="DV178" s="63"/>
      <c r="DX178" s="63"/>
    </row>
    <row r="179" spans="1:128" ht="15" customHeight="1" hidden="1">
      <c r="A179" s="117" t="s">
        <v>63</v>
      </c>
      <c r="B179" s="117" t="s">
        <v>64</v>
      </c>
      <c r="C179" s="118"/>
      <c r="D179" s="118"/>
      <c r="E179" s="118"/>
      <c r="F179" s="119"/>
      <c r="G179" s="120"/>
      <c r="H179" s="118">
        <v>0</v>
      </c>
      <c r="I179" s="118">
        <v>0</v>
      </c>
      <c r="J179" s="119">
        <f>Annually!H188-SUM(G179:I179)</f>
        <v>0</v>
      </c>
      <c r="K179" s="184"/>
      <c r="L179" s="185">
        <v>0</v>
      </c>
      <c r="M179" s="185">
        <v>0</v>
      </c>
      <c r="N179" s="274">
        <f>Annually!I188-M179-L179-K179</f>
        <v>0</v>
      </c>
      <c r="O179" s="184"/>
      <c r="P179" s="185"/>
      <c r="Q179" s="185">
        <v>0</v>
      </c>
      <c r="R179" s="274">
        <f>-Q179-P179-O179+Annually!J188</f>
        <v>0</v>
      </c>
      <c r="S179" s="184">
        <v>0</v>
      </c>
      <c r="T179" s="185">
        <v>0</v>
      </c>
      <c r="U179" s="185">
        <v>0</v>
      </c>
      <c r="V179" s="185">
        <v>0</v>
      </c>
      <c r="W179" s="184">
        <v>0</v>
      </c>
      <c r="X179" s="185"/>
      <c r="Y179" s="185"/>
      <c r="Z179" s="185"/>
      <c r="AA179" s="184"/>
      <c r="AB179" s="185"/>
      <c r="AC179" s="185"/>
      <c r="AD179" s="185"/>
      <c r="AE179" s="184"/>
      <c r="AF179" s="185"/>
      <c r="AG179" s="185"/>
      <c r="AH179" s="185"/>
      <c r="AI179" s="468"/>
      <c r="AJ179" s="185"/>
      <c r="AK179" s="185"/>
      <c r="AL179" s="185"/>
      <c r="AM179" s="468"/>
      <c r="AN179" s="185">
        <v>0</v>
      </c>
      <c r="AO179" s="185">
        <v>0</v>
      </c>
      <c r="AP179" s="185"/>
      <c r="AQ179" s="468"/>
      <c r="AR179" s="185">
        <v>0</v>
      </c>
      <c r="AS179" s="185"/>
      <c r="AT179" s="185"/>
      <c r="AU179" s="468"/>
      <c r="AV179" s="185"/>
      <c r="AW179" s="185"/>
      <c r="AX179" s="274"/>
      <c r="AY179" s="590"/>
      <c r="AZ179" s="571"/>
      <c r="BA179" s="185"/>
      <c r="BB179" s="274"/>
      <c r="BC179" s="590"/>
      <c r="BD179" s="571"/>
      <c r="BE179" s="571"/>
      <c r="BF179" s="274"/>
      <c r="BG179" s="590"/>
      <c r="BH179" s="571"/>
      <c r="BI179" s="571"/>
      <c r="BJ179" s="571"/>
      <c r="BK179" s="519"/>
      <c r="BL179" s="158"/>
      <c r="BM179" s="158"/>
      <c r="BN179" s="158"/>
      <c r="BO179" s="159"/>
      <c r="BP179" s="160"/>
      <c r="BQ179" s="161">
        <v>0</v>
      </c>
      <c r="BR179" s="161">
        <v>0</v>
      </c>
      <c r="BS179" s="162">
        <f>Annually!AC188-SUM(Quarterly!BP179:BR179)</f>
        <v>0</v>
      </c>
      <c r="BT179" s="163"/>
      <c r="BU179" s="164">
        <v>0</v>
      </c>
      <c r="BV179" s="164">
        <v>0</v>
      </c>
      <c r="BW179" s="165">
        <f>Annually!AD188-Quarterly!BV179-Quarterly!BU179-Quarterly!BT179</f>
        <v>0</v>
      </c>
      <c r="BX179" s="163"/>
      <c r="BY179" s="164"/>
      <c r="BZ179" s="164">
        <v>0</v>
      </c>
      <c r="CA179" s="166">
        <f>-BZ179-BY179-BX179+Annually!AE188</f>
        <v>0</v>
      </c>
      <c r="CB179" s="163"/>
      <c r="CC179" s="164"/>
      <c r="CD179" s="164"/>
      <c r="CE179" s="164">
        <v>0</v>
      </c>
      <c r="CF179" s="163"/>
      <c r="CG179" s="164"/>
      <c r="CH179" s="164"/>
      <c r="CI179" s="164"/>
      <c r="CJ179" s="163"/>
      <c r="CK179" s="164"/>
      <c r="CL179" s="164"/>
      <c r="CM179" s="166"/>
      <c r="CN179" s="163"/>
      <c r="CO179" s="164"/>
      <c r="CP179" s="164"/>
      <c r="CQ179" s="164"/>
      <c r="CR179" s="483"/>
      <c r="CS179" s="164"/>
      <c r="CT179" s="164"/>
      <c r="CU179" s="164"/>
      <c r="CV179" s="163"/>
      <c r="CW179" s="164"/>
      <c r="CX179" s="164"/>
      <c r="CY179" s="164"/>
      <c r="CZ179" s="163"/>
      <c r="DA179" s="164"/>
      <c r="DB179" s="164"/>
      <c r="DC179" s="164"/>
      <c r="DD179" s="163"/>
      <c r="DE179" s="164"/>
      <c r="DF179" s="164"/>
      <c r="DG179" s="164"/>
      <c r="DH179" s="163"/>
      <c r="DI179" s="164"/>
      <c r="DJ179" s="164"/>
      <c r="DK179" s="164"/>
      <c r="DL179" s="163"/>
      <c r="DM179" s="164"/>
      <c r="DN179" s="164"/>
      <c r="DO179" s="164"/>
      <c r="DP179" s="163"/>
      <c r="DQ179" s="164"/>
      <c r="DR179" s="164"/>
      <c r="DS179" s="164"/>
      <c r="DV179" s="63"/>
      <c r="DX179" s="63"/>
    </row>
    <row r="180" spans="1:128" ht="15.75">
      <c r="A180" s="70" t="s">
        <v>124</v>
      </c>
      <c r="B180" s="70" t="s">
        <v>65</v>
      </c>
      <c r="C180" s="71">
        <v>127.7544</v>
      </c>
      <c r="D180" s="71">
        <v>157.64559999999997</v>
      </c>
      <c r="E180" s="71">
        <v>166.29460000000006</v>
      </c>
      <c r="F180" s="72">
        <v>189.6671</v>
      </c>
      <c r="G180" s="73">
        <v>166.2</v>
      </c>
      <c r="H180" s="71">
        <v>158</v>
      </c>
      <c r="I180" s="71">
        <v>113.80000000000001</v>
      </c>
      <c r="J180" s="72">
        <f>J182+J185</f>
        <v>197.7</v>
      </c>
      <c r="K180" s="75">
        <f aca="true" t="shared" si="571" ref="K180:U180">K182+K184+K185</f>
        <v>201.3</v>
      </c>
      <c r="L180" s="75">
        <f t="shared" si="571"/>
        <v>155.09999999999997</v>
      </c>
      <c r="M180" s="75">
        <f t="shared" si="571"/>
        <v>164.90000000000003</v>
      </c>
      <c r="N180" s="272">
        <f t="shared" si="571"/>
        <v>175.99999999999994</v>
      </c>
      <c r="O180" s="74">
        <f t="shared" si="571"/>
        <v>203.72</v>
      </c>
      <c r="P180" s="75">
        <f t="shared" si="571"/>
        <v>135.03999999999996</v>
      </c>
      <c r="Q180" s="75">
        <f t="shared" si="571"/>
        <v>61.74000000000004</v>
      </c>
      <c r="R180" s="272">
        <f t="shared" si="571"/>
        <v>196.2</v>
      </c>
      <c r="S180" s="74">
        <f t="shared" si="571"/>
        <v>181.89999999999998</v>
      </c>
      <c r="T180" s="75">
        <f t="shared" si="571"/>
        <v>178.70000000000002</v>
      </c>
      <c r="U180" s="75">
        <f t="shared" si="571"/>
        <v>177.8</v>
      </c>
      <c r="V180" s="75">
        <f aca="true" t="shared" si="572" ref="V180:AC180">V182+V184+V185</f>
        <v>192.14527499999997</v>
      </c>
      <c r="W180" s="74">
        <f t="shared" si="572"/>
        <v>191.0412</v>
      </c>
      <c r="X180" s="75">
        <f t="shared" si="572"/>
        <v>170.07240000000002</v>
      </c>
      <c r="Y180" s="75">
        <f t="shared" si="572"/>
        <v>123.6864</v>
      </c>
      <c r="Z180" s="75">
        <f t="shared" si="572"/>
        <v>143.50000000000003</v>
      </c>
      <c r="AA180" s="74">
        <f t="shared" si="572"/>
        <v>175.60299999999998</v>
      </c>
      <c r="AB180" s="75">
        <f t="shared" si="572"/>
        <v>168.1867</v>
      </c>
      <c r="AC180" s="75">
        <f t="shared" si="572"/>
        <v>189.91029999999998</v>
      </c>
      <c r="AD180" s="75">
        <f aca="true" t="shared" si="573" ref="AD180:AI180">AD182+AD184+AD185</f>
        <v>180.99999999999997</v>
      </c>
      <c r="AE180" s="74">
        <f t="shared" si="573"/>
        <v>189.11</v>
      </c>
      <c r="AF180" s="75">
        <f t="shared" si="573"/>
        <v>182.88590000000002</v>
      </c>
      <c r="AG180" s="75">
        <f t="shared" si="573"/>
        <v>179.0041</v>
      </c>
      <c r="AH180" s="75">
        <f t="shared" si="573"/>
        <v>180.59999999999997</v>
      </c>
      <c r="AI180" s="376">
        <f t="shared" si="573"/>
        <v>318.63835600000004</v>
      </c>
      <c r="AJ180" s="75">
        <f aca="true" t="shared" si="574" ref="AJ180:AO180">AJ182+AJ184+AJ185</f>
        <v>346.36164399999996</v>
      </c>
      <c r="AK180" s="75">
        <f t="shared" si="574"/>
        <v>350.73705600000017</v>
      </c>
      <c r="AL180" s="75">
        <f t="shared" si="574"/>
        <v>412.922904</v>
      </c>
      <c r="AM180" s="376">
        <f t="shared" si="574"/>
        <v>312.5837</v>
      </c>
      <c r="AN180" s="75">
        <f t="shared" si="574"/>
        <v>189.07359999999997</v>
      </c>
      <c r="AO180" s="75">
        <f t="shared" si="574"/>
        <v>229.80390000000006</v>
      </c>
      <c r="AP180" s="75">
        <f aca="true" t="shared" si="575" ref="AP180:AY180">AP182+AP184+AP185</f>
        <v>231.6868999999999</v>
      </c>
      <c r="AQ180" s="376">
        <f t="shared" si="575"/>
        <v>189.874</v>
      </c>
      <c r="AR180" s="75">
        <f t="shared" si="575"/>
        <v>136.537</v>
      </c>
      <c r="AS180" s="75">
        <f t="shared" si="575"/>
        <v>175.3966</v>
      </c>
      <c r="AT180" s="75">
        <f t="shared" si="575"/>
        <v>8.129999999999995</v>
      </c>
      <c r="AU180" s="376">
        <f t="shared" si="575"/>
        <v>201.72086000000002</v>
      </c>
      <c r="AV180" s="75">
        <f t="shared" si="575"/>
        <v>159.41699999999997</v>
      </c>
      <c r="AW180" s="75">
        <f t="shared" si="575"/>
        <v>202.56900000000002</v>
      </c>
      <c r="AX180" s="272">
        <f>AX182+AX184+AX185</f>
        <v>178.56499999999994</v>
      </c>
      <c r="AY180" s="74">
        <f t="shared" si="575"/>
        <v>194.902</v>
      </c>
      <c r="AZ180" s="75">
        <f aca="true" t="shared" si="576" ref="AZ180:BE180">AZ182+AZ184+AZ185</f>
        <v>202.127</v>
      </c>
      <c r="BA180" s="75">
        <f t="shared" si="576"/>
        <v>206.17600000000004</v>
      </c>
      <c r="BB180" s="272">
        <f t="shared" si="576"/>
        <v>191.55699999999985</v>
      </c>
      <c r="BC180" s="74">
        <f t="shared" si="576"/>
        <v>206.306</v>
      </c>
      <c r="BD180" s="75">
        <f t="shared" si="576"/>
        <v>179.23499999999999</v>
      </c>
      <c r="BE180" s="75">
        <f t="shared" si="576"/>
        <v>184.84119999999993</v>
      </c>
      <c r="BF180" s="272">
        <f>BF182+BF184+BF185</f>
        <v>159.95510000000002</v>
      </c>
      <c r="BG180" s="74">
        <f>BG182+BG184+BG185</f>
        <v>186.903</v>
      </c>
      <c r="BH180" s="75">
        <f>BH182+BH184+BH185</f>
        <v>194.42800000000003</v>
      </c>
      <c r="BI180" s="75">
        <f>BI182+BI184+BI185</f>
        <v>206.59799999999998</v>
      </c>
      <c r="BJ180" s="75">
        <f>BJ182+BJ184+BJ185</f>
        <v>208.89499999999995</v>
      </c>
      <c r="BK180" s="519"/>
      <c r="BL180" s="77">
        <v>138.46043</v>
      </c>
      <c r="BM180" s="77">
        <v>148.63957000000002</v>
      </c>
      <c r="BN180" s="77">
        <v>174.59752399999996</v>
      </c>
      <c r="BO180" s="78">
        <v>173.57249400000006</v>
      </c>
      <c r="BP180" s="79">
        <v>167.4</v>
      </c>
      <c r="BQ180" s="80">
        <v>135.79999999999998</v>
      </c>
      <c r="BR180" s="80">
        <v>112.49999999999997</v>
      </c>
      <c r="BS180" s="81">
        <f>Annually!AC189-SUM(Quarterly!BP180:BR180)</f>
        <v>174.60000000000014</v>
      </c>
      <c r="BT180" s="82">
        <f>BT182+BT185</f>
        <v>208.7</v>
      </c>
      <c r="BU180" s="83">
        <f>BU182+BU185</f>
        <v>152.6</v>
      </c>
      <c r="BV180" s="83">
        <v>153.3</v>
      </c>
      <c r="BW180" s="84">
        <f>Annually!AD189-Quarterly!BV180-Quarterly!BU180-Quarterly!BT180</f>
        <v>165.80040400000001</v>
      </c>
      <c r="BX180" s="83">
        <f aca="true" t="shared" si="577" ref="BX180:CE180">BX182+BX185</f>
        <v>196.70000000000002</v>
      </c>
      <c r="BY180" s="83">
        <f t="shared" si="577"/>
        <v>138.50221399999998</v>
      </c>
      <c r="BZ180" s="83">
        <f t="shared" si="577"/>
        <v>39.29778600000003</v>
      </c>
      <c r="CA180" s="85">
        <f t="shared" si="577"/>
        <v>186.3</v>
      </c>
      <c r="CB180" s="82">
        <f t="shared" si="577"/>
        <v>172.6</v>
      </c>
      <c r="CC180" s="83">
        <f t="shared" si="577"/>
        <v>157.50000000000003</v>
      </c>
      <c r="CD180" s="83">
        <f t="shared" si="577"/>
        <v>181.39999999999998</v>
      </c>
      <c r="CE180" s="83">
        <f t="shared" si="577"/>
        <v>185.507064</v>
      </c>
      <c r="CF180" s="82">
        <f aca="true" t="shared" si="578" ref="CF180:CN180">CF182+CF185</f>
        <v>179.81707799999998</v>
      </c>
      <c r="CG180" s="83">
        <f t="shared" si="578"/>
        <v>157.04807200000005</v>
      </c>
      <c r="CH180" s="83">
        <f t="shared" si="578"/>
        <v>136.43484999999998</v>
      </c>
      <c r="CI180" s="83">
        <f t="shared" si="578"/>
        <v>119.20000000000002</v>
      </c>
      <c r="CJ180" s="82">
        <f t="shared" si="578"/>
        <v>156.57279999999997</v>
      </c>
      <c r="CK180" s="86">
        <f t="shared" si="578"/>
        <v>174.81121000000002</v>
      </c>
      <c r="CL180" s="86">
        <f t="shared" si="578"/>
        <v>180.01599</v>
      </c>
      <c r="CM180" s="408">
        <f>CM182+CM185</f>
        <v>182.10000000000005</v>
      </c>
      <c r="CN180" s="82">
        <f t="shared" si="578"/>
        <v>188.46641</v>
      </c>
      <c r="CO180" s="86">
        <f aca="true" t="shared" si="579" ref="CO180:CT180">CO182+CO185</f>
        <v>173.44107700000004</v>
      </c>
      <c r="CP180" s="86">
        <f t="shared" si="579"/>
        <v>180.79251299999999</v>
      </c>
      <c r="CQ180" s="86">
        <f t="shared" si="579"/>
        <v>165.09999999999997</v>
      </c>
      <c r="CR180" s="481">
        <f t="shared" si="579"/>
        <v>293.951906</v>
      </c>
      <c r="CS180" s="83">
        <f t="shared" si="579"/>
        <v>308.31699</v>
      </c>
      <c r="CT180" s="83">
        <f t="shared" si="579"/>
        <v>361.55132</v>
      </c>
      <c r="CU180" s="86">
        <f aca="true" t="shared" si="580" ref="CU180:CZ180">CU182+CU185</f>
        <v>369.11255399999993</v>
      </c>
      <c r="CV180" s="82">
        <f t="shared" si="580"/>
        <v>304.9704</v>
      </c>
      <c r="CW180" s="83">
        <f t="shared" si="580"/>
        <v>155.14187000000004</v>
      </c>
      <c r="CX180" s="83">
        <f t="shared" si="580"/>
        <v>235.52022</v>
      </c>
      <c r="CY180" s="83">
        <f t="shared" si="580"/>
        <v>231.60212000000024</v>
      </c>
      <c r="CZ180" s="82">
        <f t="shared" si="580"/>
        <v>168.87307</v>
      </c>
      <c r="DA180" s="83">
        <f aca="true" t="shared" si="581" ref="DA180:DF180">DA182+DA185</f>
        <v>144.44126</v>
      </c>
      <c r="DB180" s="83">
        <f t="shared" si="581"/>
        <v>165.81965999999986</v>
      </c>
      <c r="DC180" s="83">
        <f t="shared" si="581"/>
        <v>37.78122000000014</v>
      </c>
      <c r="DD180" s="82">
        <f t="shared" si="581"/>
        <v>189.69335</v>
      </c>
      <c r="DE180" s="83">
        <f t="shared" si="581"/>
        <v>157.45992</v>
      </c>
      <c r="DF180" s="83">
        <f t="shared" si="581"/>
        <v>234.5213</v>
      </c>
      <c r="DG180" s="83">
        <f aca="true" t="shared" si="582" ref="DG180:DL180">DG182+DG185</f>
        <v>158.91237999999998</v>
      </c>
      <c r="DH180" s="82">
        <f t="shared" si="582"/>
        <v>185.97037</v>
      </c>
      <c r="DI180" s="83">
        <f t="shared" si="582"/>
        <v>203.38154000000003</v>
      </c>
      <c r="DJ180" s="83">
        <f t="shared" si="582"/>
        <v>184.5635636</v>
      </c>
      <c r="DK180" s="83">
        <f t="shared" si="582"/>
        <v>220.98484999999988</v>
      </c>
      <c r="DL180" s="82">
        <f t="shared" si="582"/>
        <v>197.77828</v>
      </c>
      <c r="DM180" s="83">
        <f aca="true" t="shared" si="583" ref="DM180:DR180">DM182+DM185</f>
        <v>146.14595000000003</v>
      </c>
      <c r="DN180" s="83">
        <f t="shared" si="583"/>
        <v>214.30401</v>
      </c>
      <c r="DO180" s="83">
        <f t="shared" si="583"/>
        <v>108.34111599999994</v>
      </c>
      <c r="DP180" s="82">
        <f t="shared" si="583"/>
        <v>204.63239399999998</v>
      </c>
      <c r="DQ180" s="83">
        <f t="shared" si="583"/>
        <v>136.59769</v>
      </c>
      <c r="DR180" s="83">
        <f t="shared" si="583"/>
        <v>240.11316000000005</v>
      </c>
      <c r="DS180" s="83">
        <f>DS182+DS185</f>
        <v>197.5607599999999</v>
      </c>
      <c r="DV180" s="63"/>
      <c r="DX180" s="63"/>
    </row>
    <row r="181" spans="1:128" ht="15.75">
      <c r="A181" s="100" t="s">
        <v>104</v>
      </c>
      <c r="B181" s="100" t="s">
        <v>93</v>
      </c>
      <c r="C181" s="101">
        <v>7.35336</v>
      </c>
      <c r="D181" s="101">
        <v>1.6466399999999997</v>
      </c>
      <c r="E181" s="101">
        <v>3.36932</v>
      </c>
      <c r="F181" s="102">
        <v>12.1469</v>
      </c>
      <c r="G181" s="103">
        <v>5.5</v>
      </c>
      <c r="H181" s="101">
        <v>4.4</v>
      </c>
      <c r="I181" s="101">
        <v>3.0999999999999996</v>
      </c>
      <c r="J181" s="102">
        <f>Annually!H190-SUM(G181:I181)</f>
        <v>20.6</v>
      </c>
      <c r="K181" s="181">
        <f aca="true" t="shared" si="584" ref="K181:U181">K183</f>
        <v>14.4</v>
      </c>
      <c r="L181" s="181">
        <f t="shared" si="584"/>
        <v>0.7999999999999989</v>
      </c>
      <c r="M181" s="181">
        <f t="shared" si="584"/>
        <v>4.700000000000001</v>
      </c>
      <c r="N181" s="273">
        <f t="shared" si="584"/>
        <v>13.300000000000002</v>
      </c>
      <c r="O181" s="180">
        <f t="shared" si="584"/>
        <v>17.15</v>
      </c>
      <c r="P181" s="181">
        <f t="shared" si="584"/>
        <v>0.9879600000000011</v>
      </c>
      <c r="Q181" s="181">
        <f t="shared" si="584"/>
        <v>3.462040000000002</v>
      </c>
      <c r="R181" s="273">
        <f t="shared" si="584"/>
        <v>13.399999999999999</v>
      </c>
      <c r="S181" s="180">
        <f t="shared" si="584"/>
        <v>10.4</v>
      </c>
      <c r="T181" s="181">
        <f t="shared" si="584"/>
        <v>6.1</v>
      </c>
      <c r="U181" s="181">
        <f t="shared" si="584"/>
        <v>8.899999999999997</v>
      </c>
      <c r="V181" s="181">
        <f aca="true" t="shared" si="585" ref="V181:AC181">V183</f>
        <v>13.692720000000001</v>
      </c>
      <c r="W181" s="180">
        <f t="shared" si="585"/>
        <v>13.34662</v>
      </c>
      <c r="X181" s="181">
        <f t="shared" si="585"/>
        <v>7.127630000000002</v>
      </c>
      <c r="Y181" s="181">
        <f t="shared" si="585"/>
        <v>1.62575</v>
      </c>
      <c r="Z181" s="181">
        <f t="shared" si="585"/>
        <v>13.799999999999992</v>
      </c>
      <c r="AA181" s="180">
        <f t="shared" si="585"/>
        <v>7.2698</v>
      </c>
      <c r="AB181" s="181">
        <f t="shared" si="585"/>
        <v>2.7203800000000005</v>
      </c>
      <c r="AC181" s="181">
        <f t="shared" si="585"/>
        <v>2.209819999999999</v>
      </c>
      <c r="AD181" s="181">
        <f aca="true" t="shared" si="586" ref="AD181:AI181">AD183</f>
        <v>9.000000000000004</v>
      </c>
      <c r="AE181" s="180">
        <f t="shared" si="586"/>
        <v>4.5816</v>
      </c>
      <c r="AF181" s="181">
        <f t="shared" si="586"/>
        <v>3.9695599999999995</v>
      </c>
      <c r="AG181" s="181">
        <f t="shared" si="586"/>
        <v>2.7488400000000013</v>
      </c>
      <c r="AH181" s="181">
        <f t="shared" si="586"/>
        <v>10.899999999999999</v>
      </c>
      <c r="AI181" s="467">
        <f t="shared" si="586"/>
        <v>16.382924</v>
      </c>
      <c r="AJ181" s="181">
        <f aca="true" t="shared" si="587" ref="AJ181:AO181">AJ183</f>
        <v>13.617076</v>
      </c>
      <c r="AK181" s="181">
        <f t="shared" si="587"/>
        <v>18.669214</v>
      </c>
      <c r="AL181" s="181">
        <f t="shared" si="587"/>
        <v>24.580496</v>
      </c>
      <c r="AM181" s="467">
        <f t="shared" si="587"/>
        <v>15.993</v>
      </c>
      <c r="AN181" s="181">
        <f t="shared" si="587"/>
        <v>5.696500000000002</v>
      </c>
      <c r="AO181" s="181">
        <f t="shared" si="587"/>
        <v>11.23137</v>
      </c>
      <c r="AP181" s="181">
        <f aca="true" t="shared" si="588" ref="AP181:AY181">AP183</f>
        <v>10.532899999999996</v>
      </c>
      <c r="AQ181" s="467">
        <f t="shared" si="588"/>
        <v>0</v>
      </c>
      <c r="AR181" s="181">
        <f t="shared" si="588"/>
        <v>0</v>
      </c>
      <c r="AS181" s="181">
        <f t="shared" si="588"/>
        <v>3.715</v>
      </c>
      <c r="AT181" s="181">
        <f t="shared" si="588"/>
        <v>-0.1589999999999998</v>
      </c>
      <c r="AU181" s="467">
        <f t="shared" si="588"/>
        <v>0</v>
      </c>
      <c r="AV181" s="181">
        <f t="shared" si="588"/>
        <v>0</v>
      </c>
      <c r="AW181" s="181">
        <f t="shared" si="588"/>
        <v>0</v>
      </c>
      <c r="AX181" s="273">
        <f>AX183</f>
        <v>0</v>
      </c>
      <c r="AY181" s="180">
        <f t="shared" si="588"/>
        <v>0</v>
      </c>
      <c r="AZ181" s="181">
        <f aca="true" t="shared" si="589" ref="AZ181:BE181">AZ183</f>
        <v>0</v>
      </c>
      <c r="BA181" s="181">
        <f t="shared" si="589"/>
        <v>0</v>
      </c>
      <c r="BB181" s="273">
        <f t="shared" si="589"/>
        <v>0</v>
      </c>
      <c r="BC181" s="180">
        <f t="shared" si="589"/>
        <v>0</v>
      </c>
      <c r="BD181" s="181">
        <f t="shared" si="589"/>
        <v>0</v>
      </c>
      <c r="BE181" s="181">
        <f t="shared" si="589"/>
        <v>2.841967</v>
      </c>
      <c r="BF181" s="273">
        <f>BF183</f>
        <v>7.536429999999999</v>
      </c>
      <c r="BG181" s="180">
        <f>BG183</f>
        <v>0</v>
      </c>
      <c r="BH181" s="181">
        <f>BH183</f>
        <v>0</v>
      </c>
      <c r="BI181" s="181">
        <f>BI183</f>
        <v>0</v>
      </c>
      <c r="BJ181" s="181">
        <f>BJ183</f>
        <v>0</v>
      </c>
      <c r="BK181" s="519"/>
      <c r="BL181" s="77"/>
      <c r="BM181" s="77"/>
      <c r="BN181" s="77"/>
      <c r="BO181" s="78"/>
      <c r="BP181" s="79"/>
      <c r="BQ181" s="80"/>
      <c r="BR181" s="80"/>
      <c r="BS181" s="81"/>
      <c r="BT181" s="82"/>
      <c r="BU181" s="83"/>
      <c r="BV181" s="83"/>
      <c r="BW181" s="84"/>
      <c r="BX181" s="82"/>
      <c r="BY181" s="83"/>
      <c r="BZ181" s="83"/>
      <c r="CA181" s="85"/>
      <c r="CB181" s="82"/>
      <c r="CC181" s="83"/>
      <c r="CD181" s="83"/>
      <c r="CE181" s="83"/>
      <c r="CF181" s="82"/>
      <c r="CG181" s="83"/>
      <c r="CH181" s="83"/>
      <c r="CI181" s="83"/>
      <c r="CJ181" s="82"/>
      <c r="CK181" s="83"/>
      <c r="CL181" s="83"/>
      <c r="CM181" s="85"/>
      <c r="CN181" s="82"/>
      <c r="CO181" s="83"/>
      <c r="CP181" s="83"/>
      <c r="CQ181" s="83"/>
      <c r="CR181" s="481"/>
      <c r="CS181" s="83"/>
      <c r="CT181" s="83"/>
      <c r="CU181" s="83"/>
      <c r="CV181" s="82"/>
      <c r="CW181" s="83"/>
      <c r="CX181" s="83"/>
      <c r="CY181" s="83"/>
      <c r="CZ181" s="82"/>
      <c r="DA181" s="83"/>
      <c r="DB181" s="83"/>
      <c r="DC181" s="83"/>
      <c r="DD181" s="82"/>
      <c r="DE181" s="83"/>
      <c r="DF181" s="83"/>
      <c r="DG181" s="83"/>
      <c r="DH181" s="82"/>
      <c r="DI181" s="83"/>
      <c r="DJ181" s="83"/>
      <c r="DK181" s="83"/>
      <c r="DL181" s="82"/>
      <c r="DM181" s="83"/>
      <c r="DN181" s="83"/>
      <c r="DO181" s="83"/>
      <c r="DP181" s="82"/>
      <c r="DQ181" s="83"/>
      <c r="DR181" s="83"/>
      <c r="DS181" s="83"/>
      <c r="DV181" s="63"/>
      <c r="DX181" s="63"/>
    </row>
    <row r="182" spans="1:128" ht="15.75">
      <c r="A182" s="117" t="s">
        <v>66</v>
      </c>
      <c r="B182" s="117" t="s">
        <v>142</v>
      </c>
      <c r="C182" s="118">
        <v>107.217</v>
      </c>
      <c r="D182" s="118">
        <v>153.38300000000004</v>
      </c>
      <c r="E182" s="118">
        <v>156.18439999999998</v>
      </c>
      <c r="F182" s="119">
        <v>159.269</v>
      </c>
      <c r="G182" s="120">
        <v>152.3</v>
      </c>
      <c r="H182" s="118">
        <v>145.3</v>
      </c>
      <c r="I182" s="118">
        <v>106.69999999999999</v>
      </c>
      <c r="J182" s="119">
        <f>Annually!H191-SUM(G182:I182)</f>
        <v>150.3</v>
      </c>
      <c r="K182" s="184">
        <v>159.5</v>
      </c>
      <c r="L182" s="185">
        <v>152.39999999999998</v>
      </c>
      <c r="M182" s="185">
        <v>152.60000000000002</v>
      </c>
      <c r="N182" s="274">
        <f>Annually!I191-M182-L182-K182</f>
        <v>142.29999999999995</v>
      </c>
      <c r="O182" s="184">
        <v>161.9</v>
      </c>
      <c r="P182" s="185">
        <f>294.46-O182</f>
        <v>132.55999999999997</v>
      </c>
      <c r="Q182" s="185">
        <v>51.34000000000003</v>
      </c>
      <c r="R182" s="274">
        <f>-Q182-P182-O182+Annually!J191</f>
        <v>162.5</v>
      </c>
      <c r="S182" s="184">
        <v>155.2</v>
      </c>
      <c r="T182" s="185">
        <v>161.3</v>
      </c>
      <c r="U182" s="185">
        <v>155.5</v>
      </c>
      <c r="V182" s="185">
        <v>159.23249999999996</v>
      </c>
      <c r="W182" s="184">
        <v>157.837</v>
      </c>
      <c r="X182" s="185">
        <v>151.596</v>
      </c>
      <c r="Y182" s="185">
        <v>119.56700000000001</v>
      </c>
      <c r="Z182" s="185">
        <f>Annually!L191-Y182-X182-W182</f>
        <v>111.10000000000002</v>
      </c>
      <c r="AA182" s="184">
        <v>156.712</v>
      </c>
      <c r="AB182" s="185">
        <v>161.675</v>
      </c>
      <c r="AC182" s="185">
        <v>167.813</v>
      </c>
      <c r="AD182" s="185">
        <f>Annually!M191-AC182-AB182-AA182</f>
        <v>175.09999999999997</v>
      </c>
      <c r="AE182" s="184">
        <v>177.656</v>
      </c>
      <c r="AF182" s="185">
        <v>172.53000000000003</v>
      </c>
      <c r="AG182" s="257">
        <v>171.914</v>
      </c>
      <c r="AH182" s="185">
        <f>Annually!N191-AG182-AF182-AE182</f>
        <v>138.79999999999995</v>
      </c>
      <c r="AI182" s="468">
        <v>186.133</v>
      </c>
      <c r="AJ182" s="185">
        <v>195.867</v>
      </c>
      <c r="AK182" s="185">
        <v>188.97500000000005</v>
      </c>
      <c r="AL182" s="185">
        <f>Annually!O191-AK182-AJ182-AI182</f>
        <v>186.71100000000004</v>
      </c>
      <c r="AM182" s="468">
        <v>199.393</v>
      </c>
      <c r="AN182" s="185">
        <v>173.588</v>
      </c>
      <c r="AO182" s="185">
        <v>198.82600000000005</v>
      </c>
      <c r="AP182" s="181">
        <f>Annually!P191-AM182-AN182-AO182</f>
        <v>203.7339999999999</v>
      </c>
      <c r="AQ182" s="468">
        <v>189.874</v>
      </c>
      <c r="AR182" s="185">
        <v>136.537</v>
      </c>
      <c r="AS182" s="185">
        <v>166.73600000000002</v>
      </c>
      <c r="AT182" s="181">
        <f>Annually!Q191-AQ182-AR182-AS182</f>
        <v>8.129999999999995</v>
      </c>
      <c r="AU182" s="468">
        <v>201.72086000000002</v>
      </c>
      <c r="AV182" s="185">
        <v>159.41699999999997</v>
      </c>
      <c r="AW182" s="252">
        <v>202.56900000000002</v>
      </c>
      <c r="AX182" s="274">
        <f>Annually!R191-AU182-AV182-AW182</f>
        <v>178.56499999999994</v>
      </c>
      <c r="AY182" s="590">
        <v>194.902</v>
      </c>
      <c r="AZ182" s="571">
        <v>202.127</v>
      </c>
      <c r="BA182" s="252">
        <v>206.17600000000004</v>
      </c>
      <c r="BB182" s="274">
        <f>Annually!S191-AY182-AZ182-BA182</f>
        <v>191.55699999999985</v>
      </c>
      <c r="BC182" s="590">
        <v>206.306</v>
      </c>
      <c r="BD182" s="571">
        <v>179.23499999999999</v>
      </c>
      <c r="BE182" s="571">
        <v>177.75399999999993</v>
      </c>
      <c r="BF182" s="274">
        <f>Annually!T191-BC182-BD182-BE182</f>
        <v>141.16100000000003</v>
      </c>
      <c r="BG182" s="590">
        <v>186.903</v>
      </c>
      <c r="BH182" s="571">
        <v>194.42800000000003</v>
      </c>
      <c r="BI182" s="571">
        <v>206.59799999999998</v>
      </c>
      <c r="BJ182" s="274">
        <f>Annually!U191-BG182-BH182-BI182</f>
        <v>208.89499999999995</v>
      </c>
      <c r="BK182" s="519"/>
      <c r="BL182" s="158">
        <v>121.61913</v>
      </c>
      <c r="BM182" s="158">
        <v>139.28087</v>
      </c>
      <c r="BN182" s="158">
        <v>165.514024</v>
      </c>
      <c r="BO182" s="159">
        <v>142.15139400000004</v>
      </c>
      <c r="BP182" s="160">
        <v>153.4</v>
      </c>
      <c r="BQ182" s="161">
        <v>123.20000000000002</v>
      </c>
      <c r="BR182" s="161">
        <v>109.6</v>
      </c>
      <c r="BS182" s="162">
        <f>Annually!AC191-SUM(Quarterly!BP182:BR182)</f>
        <v>130</v>
      </c>
      <c r="BT182" s="163">
        <v>161.4</v>
      </c>
      <c r="BU182" s="164">
        <v>148.29999999999998</v>
      </c>
      <c r="BV182" s="164">
        <v>145.90000000000006</v>
      </c>
      <c r="BW182" s="165">
        <f>Annually!AD191-Quarterly!BV182-Quarterly!BU182-Quarterly!BT182</f>
        <v>131.29440399999996</v>
      </c>
      <c r="BX182" s="163">
        <v>150.8</v>
      </c>
      <c r="BY182" s="164">
        <f>287.052304-BX182</f>
        <v>136.25230399999998</v>
      </c>
      <c r="BZ182" s="164">
        <v>30.54769600000003</v>
      </c>
      <c r="CA182" s="166">
        <f>-BZ182-BY182-BX182+Annually!AE191</f>
        <v>152</v>
      </c>
      <c r="CB182" s="163">
        <v>144.7</v>
      </c>
      <c r="CC182" s="164">
        <v>144.90000000000003</v>
      </c>
      <c r="CD182" s="164">
        <v>155.59999999999997</v>
      </c>
      <c r="CE182" s="164">
        <v>152.207064</v>
      </c>
      <c r="CF182" s="163">
        <v>145.709378</v>
      </c>
      <c r="CG182" s="164">
        <v>138.68117200000003</v>
      </c>
      <c r="CH182" s="164">
        <v>132.30945</v>
      </c>
      <c r="CI182" s="164">
        <f>Annually!AG191-Quarterly!CH182-Quarterly!CG182-Quarterly!CF182</f>
        <v>86.80000000000001</v>
      </c>
      <c r="CJ182" s="163">
        <v>138.7513</v>
      </c>
      <c r="CK182" s="164">
        <v>167.25861</v>
      </c>
      <c r="CL182" s="164">
        <v>166.29009</v>
      </c>
      <c r="CM182" s="166">
        <f>Annually!AH191-CL182-CK182-CJ182</f>
        <v>168.60000000000005</v>
      </c>
      <c r="CN182" s="163">
        <v>178.27215</v>
      </c>
      <c r="CO182" s="164">
        <v>164.72758200000004</v>
      </c>
      <c r="CP182" s="121">
        <v>170.10026799999997</v>
      </c>
      <c r="CQ182" s="164">
        <f>Annually!AI191-CP182-CO182-CN182</f>
        <v>127.89999999999998</v>
      </c>
      <c r="CR182" s="483">
        <v>162.00835</v>
      </c>
      <c r="CS182" s="164">
        <v>153.24048999999997</v>
      </c>
      <c r="CT182" s="164">
        <v>206.15782000000002</v>
      </c>
      <c r="CU182" s="164">
        <f>Annually!AJ191-CT182-CS182-CR182</f>
        <v>148.91184999999996</v>
      </c>
      <c r="CV182" s="163">
        <v>179.7816</v>
      </c>
      <c r="CW182" s="164">
        <v>138.61347000000004</v>
      </c>
      <c r="CX182" s="164">
        <v>204.53771999999995</v>
      </c>
      <c r="CY182" s="164">
        <f>Annually!AK191-CX182-CW182-CV182</f>
        <v>203.77172000000022</v>
      </c>
      <c r="CZ182" s="163">
        <v>168.68557</v>
      </c>
      <c r="DA182" s="121">
        <v>144.45001</v>
      </c>
      <c r="DB182" s="121">
        <v>159.29245999999986</v>
      </c>
      <c r="DC182" s="164">
        <f>Annually!AL191-DB182-DA182-CZ182</f>
        <v>35.64782000000014</v>
      </c>
      <c r="DD182" s="163">
        <v>189.69335</v>
      </c>
      <c r="DE182" s="121">
        <v>157.45992</v>
      </c>
      <c r="DF182" s="121">
        <v>234.5213</v>
      </c>
      <c r="DG182" s="164">
        <f>Annually!AM191-DF182-DE182-DD182</f>
        <v>158.91237999999998</v>
      </c>
      <c r="DH182" s="163">
        <v>185.97037</v>
      </c>
      <c r="DI182" s="121">
        <v>203.38154000000003</v>
      </c>
      <c r="DJ182" s="121">
        <v>184.5635636</v>
      </c>
      <c r="DK182" s="164">
        <f>Annually!AN191-DJ182-DI182-DH182</f>
        <v>220.98484999999988</v>
      </c>
      <c r="DL182" s="163">
        <v>197.77828</v>
      </c>
      <c r="DM182" s="121">
        <v>146.14595000000003</v>
      </c>
      <c r="DN182" s="121">
        <v>211.26281</v>
      </c>
      <c r="DO182" s="164">
        <f>Annually!AO191-DN182-DM182-DL182</f>
        <v>85.50101599999994</v>
      </c>
      <c r="DP182" s="163">
        <v>204.63239399999998</v>
      </c>
      <c r="DQ182" s="121">
        <v>136.59769</v>
      </c>
      <c r="DR182" s="121">
        <v>240.11316000000005</v>
      </c>
      <c r="DS182" s="164">
        <f>Annually!AP191-DR182-DQ182-DP182</f>
        <v>197.5607599999999</v>
      </c>
      <c r="DV182" s="63"/>
      <c r="DX182" s="63"/>
    </row>
    <row r="183" spans="1:169" s="129" customFormat="1" ht="15">
      <c r="A183" s="100" t="s">
        <v>104</v>
      </c>
      <c r="B183" s="100" t="s">
        <v>93</v>
      </c>
      <c r="C183" s="101">
        <v>7.35336</v>
      </c>
      <c r="D183" s="101">
        <v>1.6466399999999997</v>
      </c>
      <c r="E183" s="101">
        <v>3.36932</v>
      </c>
      <c r="F183" s="102">
        <v>12.1469</v>
      </c>
      <c r="G183" s="103">
        <v>5.5</v>
      </c>
      <c r="H183" s="101">
        <v>4.4</v>
      </c>
      <c r="I183" s="101">
        <v>3.0999999999999996</v>
      </c>
      <c r="J183" s="102">
        <f>Annually!H192-SUM(G183:I183)</f>
        <v>20.6</v>
      </c>
      <c r="K183" s="180">
        <v>14.4</v>
      </c>
      <c r="L183" s="181">
        <v>0.7999999999999989</v>
      </c>
      <c r="M183" s="181">
        <v>4.700000000000001</v>
      </c>
      <c r="N183" s="273">
        <f>Annually!I192-M183-L183-K183</f>
        <v>13.300000000000002</v>
      </c>
      <c r="O183" s="180">
        <v>17.15</v>
      </c>
      <c r="P183" s="181">
        <f>18.13796-O183</f>
        <v>0.9879600000000011</v>
      </c>
      <c r="Q183" s="181">
        <v>3.462040000000002</v>
      </c>
      <c r="R183" s="273">
        <f>-Q183-P183-O183+Annually!J192</f>
        <v>13.399999999999999</v>
      </c>
      <c r="S183" s="180">
        <v>10.4</v>
      </c>
      <c r="T183" s="181">
        <v>6.1</v>
      </c>
      <c r="U183" s="181">
        <v>8.899999999999997</v>
      </c>
      <c r="V183" s="181">
        <v>13.692720000000001</v>
      </c>
      <c r="W183" s="180">
        <v>13.34662</v>
      </c>
      <c r="X183" s="181">
        <v>7.127630000000002</v>
      </c>
      <c r="Y183" s="181">
        <v>1.62575</v>
      </c>
      <c r="Z183" s="181">
        <f>Annually!L192-Y183-X183-W183</f>
        <v>13.799999999999992</v>
      </c>
      <c r="AA183" s="180">
        <v>7.2698</v>
      </c>
      <c r="AB183" s="181">
        <v>2.7203800000000005</v>
      </c>
      <c r="AC183" s="181">
        <v>2.209819999999999</v>
      </c>
      <c r="AD183" s="181">
        <f>Annually!M192-AC183-AB183-AA183</f>
        <v>9.000000000000004</v>
      </c>
      <c r="AE183" s="180">
        <v>4.5816</v>
      </c>
      <c r="AF183" s="181">
        <v>3.9695599999999995</v>
      </c>
      <c r="AG183" s="257">
        <v>2.7488400000000013</v>
      </c>
      <c r="AH183" s="181">
        <f>Annually!N192-AG183-AF183-AE183</f>
        <v>10.899999999999999</v>
      </c>
      <c r="AI183" s="467">
        <v>16.382924</v>
      </c>
      <c r="AJ183" s="181">
        <v>13.617076</v>
      </c>
      <c r="AK183" s="181">
        <v>18.669214</v>
      </c>
      <c r="AL183" s="181">
        <f>Annually!O192-AK183-AJ183-AI183</f>
        <v>24.580496</v>
      </c>
      <c r="AM183" s="467">
        <v>15.993</v>
      </c>
      <c r="AN183" s="181">
        <v>5.696500000000002</v>
      </c>
      <c r="AO183" s="181">
        <v>11.23137</v>
      </c>
      <c r="AP183" s="181">
        <f>Annually!P192-AM183-AN183-AO183</f>
        <v>10.532899999999996</v>
      </c>
      <c r="AQ183" s="467">
        <v>0</v>
      </c>
      <c r="AR183" s="257">
        <v>0</v>
      </c>
      <c r="AS183" s="257">
        <v>3.715</v>
      </c>
      <c r="AT183" s="181">
        <f>Annually!Q192-AQ183-AR183-AS183</f>
        <v>-0.1589999999999998</v>
      </c>
      <c r="AU183" s="467">
        <v>0</v>
      </c>
      <c r="AV183" s="257">
        <v>0</v>
      </c>
      <c r="AW183" s="257">
        <v>0</v>
      </c>
      <c r="AX183" s="273">
        <f>Annually!R192-AU183-AV183-AW183</f>
        <v>0</v>
      </c>
      <c r="AY183" s="589">
        <v>0</v>
      </c>
      <c r="AZ183" s="570">
        <v>0</v>
      </c>
      <c r="BA183" s="257">
        <v>0</v>
      </c>
      <c r="BB183" s="273">
        <f>Annually!S192-AY183-AZ183-BA183</f>
        <v>0</v>
      </c>
      <c r="BC183" s="589">
        <v>0</v>
      </c>
      <c r="BD183" s="570">
        <v>0</v>
      </c>
      <c r="BE183" s="570">
        <v>2.841967</v>
      </c>
      <c r="BF183" s="273">
        <f>Annually!T192-BC183-BD183-BE183</f>
        <v>7.536429999999999</v>
      </c>
      <c r="BG183" s="589">
        <v>0</v>
      </c>
      <c r="BH183" s="570">
        <v>0</v>
      </c>
      <c r="BI183" s="570">
        <v>0</v>
      </c>
      <c r="BJ183" s="273">
        <f>Annually!U192-BG183-BH183-BI183</f>
        <v>0</v>
      </c>
      <c r="BK183" s="549"/>
      <c r="BL183" s="145"/>
      <c r="BM183" s="145"/>
      <c r="BN183" s="145"/>
      <c r="BO183" s="146"/>
      <c r="BP183" s="147"/>
      <c r="BQ183" s="148"/>
      <c r="BR183" s="148"/>
      <c r="BS183" s="149"/>
      <c r="BT183" s="150"/>
      <c r="BU183" s="151"/>
      <c r="BV183" s="151"/>
      <c r="BW183" s="152"/>
      <c r="BX183" s="153"/>
      <c r="BY183" s="154"/>
      <c r="BZ183" s="154"/>
      <c r="CA183" s="155"/>
      <c r="CB183" s="153"/>
      <c r="CC183" s="154"/>
      <c r="CD183" s="154"/>
      <c r="CE183" s="154"/>
      <c r="CF183" s="153"/>
      <c r="CG183" s="154"/>
      <c r="CH183" s="154"/>
      <c r="CI183" s="154"/>
      <c r="CJ183" s="153"/>
      <c r="CK183" s="154"/>
      <c r="CL183" s="154"/>
      <c r="CM183" s="155"/>
      <c r="CN183" s="153"/>
      <c r="CO183" s="154"/>
      <c r="CP183" s="154"/>
      <c r="CQ183" s="154"/>
      <c r="CR183" s="550"/>
      <c r="CS183" s="154"/>
      <c r="CT183" s="154"/>
      <c r="CU183" s="154"/>
      <c r="CV183" s="153"/>
      <c r="CW183" s="154"/>
      <c r="CX183" s="154"/>
      <c r="CY183" s="154"/>
      <c r="CZ183" s="153"/>
      <c r="DA183" s="154"/>
      <c r="DB183" s="154"/>
      <c r="DC183" s="154"/>
      <c r="DD183" s="153"/>
      <c r="DE183" s="154"/>
      <c r="DF183" s="154"/>
      <c r="DG183" s="154"/>
      <c r="DH183" s="153"/>
      <c r="DI183" s="154"/>
      <c r="DJ183" s="154"/>
      <c r="DK183" s="154"/>
      <c r="DL183" s="153"/>
      <c r="DM183" s="154"/>
      <c r="DN183" s="154"/>
      <c r="DO183" s="154"/>
      <c r="DP183" s="153"/>
      <c r="DQ183" s="154"/>
      <c r="DR183" s="154"/>
      <c r="DS183" s="154"/>
      <c r="DT183" s="156"/>
      <c r="DU183" s="156"/>
      <c r="DV183" s="127"/>
      <c r="DW183" s="156"/>
      <c r="DX183" s="127"/>
      <c r="DY183" s="156"/>
      <c r="DZ183" s="156"/>
      <c r="EA183" s="156"/>
      <c r="EB183" s="156"/>
      <c r="EC183" s="156"/>
      <c r="ED183" s="156"/>
      <c r="EE183" s="156"/>
      <c r="EF183" s="156"/>
      <c r="EG183" s="156"/>
      <c r="EH183" s="156"/>
      <c r="EI183" s="156"/>
      <c r="EJ183" s="156"/>
      <c r="EK183" s="156"/>
      <c r="EL183" s="156"/>
      <c r="EM183" s="156"/>
      <c r="EN183" s="156"/>
      <c r="EO183" s="156"/>
      <c r="EP183" s="156"/>
      <c r="EQ183" s="156"/>
      <c r="ER183" s="156"/>
      <c r="ES183" s="156"/>
      <c r="ET183" s="156"/>
      <c r="EU183" s="156"/>
      <c r="EV183" s="156"/>
      <c r="EW183" s="156"/>
      <c r="EX183" s="156"/>
      <c r="EY183" s="156"/>
      <c r="EZ183" s="156"/>
      <c r="FA183" s="156"/>
      <c r="FB183" s="156"/>
      <c r="FC183" s="156"/>
      <c r="FD183" s="156"/>
      <c r="FE183" s="156"/>
      <c r="FF183" s="156"/>
      <c r="FG183" s="156"/>
      <c r="FH183" s="156"/>
      <c r="FI183" s="156"/>
      <c r="FJ183" s="156"/>
      <c r="FK183" s="156"/>
      <c r="FL183" s="156"/>
      <c r="FM183" s="156"/>
    </row>
    <row r="184" spans="1:128" ht="15.75" customHeight="1" hidden="1">
      <c r="A184" s="117" t="s">
        <v>68</v>
      </c>
      <c r="B184" s="117" t="s">
        <v>69</v>
      </c>
      <c r="C184" s="101">
        <v>0</v>
      </c>
      <c r="D184" s="101">
        <v>0</v>
      </c>
      <c r="E184" s="101">
        <v>0</v>
      </c>
      <c r="F184" s="102">
        <v>0</v>
      </c>
      <c r="G184" s="103"/>
      <c r="H184" s="101">
        <v>0</v>
      </c>
      <c r="I184" s="101">
        <v>0</v>
      </c>
      <c r="J184" s="102">
        <f>Annually!H193-SUM(G184:I184)</f>
        <v>0</v>
      </c>
      <c r="K184" s="180"/>
      <c r="L184" s="181">
        <v>0</v>
      </c>
      <c r="M184" s="181">
        <v>0</v>
      </c>
      <c r="N184" s="274">
        <f>Annually!I193-M184-L184-K184</f>
        <v>0</v>
      </c>
      <c r="O184" s="184"/>
      <c r="P184" s="185"/>
      <c r="Q184" s="185">
        <v>0</v>
      </c>
      <c r="R184" s="274">
        <f>-Q184-P184-O184+Annually!J193</f>
        <v>0</v>
      </c>
      <c r="S184" s="184">
        <v>0</v>
      </c>
      <c r="T184" s="185">
        <v>0</v>
      </c>
      <c r="U184" s="185">
        <v>0</v>
      </c>
      <c r="V184" s="185">
        <v>0</v>
      </c>
      <c r="W184" s="184">
        <v>0</v>
      </c>
      <c r="X184" s="185"/>
      <c r="Y184" s="185">
        <v>0</v>
      </c>
      <c r="Z184" s="185">
        <f>Annually!L193-Y184-X184-W184</f>
        <v>0</v>
      </c>
      <c r="AA184" s="184"/>
      <c r="AB184" s="185">
        <v>0</v>
      </c>
      <c r="AC184" s="185"/>
      <c r="AD184" s="185"/>
      <c r="AE184" s="184"/>
      <c r="AF184" s="185">
        <v>0</v>
      </c>
      <c r="AG184" s="185"/>
      <c r="AH184" s="185"/>
      <c r="AI184" s="468"/>
      <c r="AJ184" s="185">
        <v>0</v>
      </c>
      <c r="AK184" s="185"/>
      <c r="AL184" s="185"/>
      <c r="AM184" s="468"/>
      <c r="AN184" s="185">
        <v>0</v>
      </c>
      <c r="AO184" s="185">
        <v>0</v>
      </c>
      <c r="AP184" s="185"/>
      <c r="AQ184" s="468"/>
      <c r="AR184" s="185">
        <v>0</v>
      </c>
      <c r="AS184" s="185"/>
      <c r="AT184" s="185"/>
      <c r="AU184" s="468"/>
      <c r="AV184" s="185">
        <v>0</v>
      </c>
      <c r="AW184" s="185"/>
      <c r="AX184" s="274"/>
      <c r="AY184" s="590"/>
      <c r="AZ184" s="571"/>
      <c r="BA184" s="185"/>
      <c r="BB184" s="274"/>
      <c r="BC184" s="590"/>
      <c r="BD184" s="571"/>
      <c r="BE184" s="571"/>
      <c r="BF184" s="274"/>
      <c r="BG184" s="590"/>
      <c r="BH184" s="571"/>
      <c r="BI184" s="571">
        <v>0</v>
      </c>
      <c r="BJ184" s="274"/>
      <c r="BK184" s="519"/>
      <c r="BL184" s="158">
        <v>0</v>
      </c>
      <c r="BM184" s="158">
        <v>0</v>
      </c>
      <c r="BN184" s="158">
        <v>0</v>
      </c>
      <c r="BO184" s="159">
        <v>0</v>
      </c>
      <c r="BP184" s="160"/>
      <c r="BQ184" s="161">
        <v>0</v>
      </c>
      <c r="BR184" s="161">
        <v>0</v>
      </c>
      <c r="BS184" s="162">
        <f>Annually!AC193-SUM(Quarterly!BP184:BR184)</f>
        <v>0</v>
      </c>
      <c r="BT184" s="163"/>
      <c r="BU184" s="164">
        <v>0</v>
      </c>
      <c r="BV184" s="164">
        <v>0</v>
      </c>
      <c r="BW184" s="165">
        <f>Annually!AD193-Quarterly!BV184-Quarterly!BU184-Quarterly!BT184</f>
        <v>0</v>
      </c>
      <c r="BX184" s="163"/>
      <c r="BY184" s="164"/>
      <c r="BZ184" s="164">
        <v>0</v>
      </c>
      <c r="CA184" s="166">
        <f>-BZ184-BY184-BX184+Annually!AE193</f>
        <v>0</v>
      </c>
      <c r="CB184" s="163"/>
      <c r="CC184" s="164"/>
      <c r="CD184" s="164"/>
      <c r="CE184" s="164">
        <v>0</v>
      </c>
      <c r="CF184" s="163"/>
      <c r="CG184" s="164"/>
      <c r="CH184" s="164"/>
      <c r="CI184" s="164"/>
      <c r="CJ184" s="163"/>
      <c r="CK184" s="164"/>
      <c r="CL184" s="164"/>
      <c r="CM184" s="166"/>
      <c r="CN184" s="163"/>
      <c r="CO184" s="164"/>
      <c r="CP184" s="164"/>
      <c r="CQ184" s="164"/>
      <c r="CR184" s="483"/>
      <c r="CS184" s="164"/>
      <c r="CT184" s="164"/>
      <c r="CU184" s="164"/>
      <c r="CV184" s="163"/>
      <c r="CW184" s="164"/>
      <c r="CX184" s="164"/>
      <c r="CY184" s="164"/>
      <c r="CZ184" s="163"/>
      <c r="DA184" s="164"/>
      <c r="DB184" s="164"/>
      <c r="DC184" s="164"/>
      <c r="DD184" s="163"/>
      <c r="DE184" s="164"/>
      <c r="DF184" s="164"/>
      <c r="DG184" s="164"/>
      <c r="DH184" s="163"/>
      <c r="DI184" s="164"/>
      <c r="DJ184" s="164"/>
      <c r="DK184" s="164"/>
      <c r="DL184" s="163"/>
      <c r="DM184" s="164"/>
      <c r="DN184" s="164"/>
      <c r="DO184" s="164"/>
      <c r="DP184" s="163"/>
      <c r="DQ184" s="164"/>
      <c r="DR184" s="164"/>
      <c r="DS184" s="164"/>
      <c r="DV184" s="63"/>
      <c r="DX184" s="63"/>
    </row>
    <row r="185" spans="1:128" ht="15.75">
      <c r="A185" s="117" t="s">
        <v>70</v>
      </c>
      <c r="B185" s="116" t="s">
        <v>125</v>
      </c>
      <c r="C185" s="118">
        <v>20.5374</v>
      </c>
      <c r="D185" s="118">
        <v>4.262599999999999</v>
      </c>
      <c r="E185" s="118">
        <v>10.110200000000003</v>
      </c>
      <c r="F185" s="119">
        <v>30.3981</v>
      </c>
      <c r="G185" s="120">
        <v>13.9</v>
      </c>
      <c r="H185" s="118">
        <v>12.700000000000001</v>
      </c>
      <c r="I185" s="118">
        <v>7.1</v>
      </c>
      <c r="J185" s="119">
        <f>Annually!H194-SUM(G185:I185)</f>
        <v>47.39999999999999</v>
      </c>
      <c r="K185" s="184">
        <v>41.8</v>
      </c>
      <c r="L185" s="185">
        <v>2.700000000000003</v>
      </c>
      <c r="M185" s="185">
        <v>12.299999999999997</v>
      </c>
      <c r="N185" s="274">
        <f>Annually!I194-M185-L185-K185</f>
        <v>33.7</v>
      </c>
      <c r="O185" s="184">
        <v>41.82</v>
      </c>
      <c r="P185" s="185">
        <f>44.3-O185</f>
        <v>2.479999999999997</v>
      </c>
      <c r="Q185" s="185">
        <v>10.400000000000006</v>
      </c>
      <c r="R185" s="274">
        <f>-Q185-P185-O185+Annually!J194</f>
        <v>33.7</v>
      </c>
      <c r="S185" s="184">
        <v>26.7</v>
      </c>
      <c r="T185" s="185">
        <v>17.400000000000002</v>
      </c>
      <c r="U185" s="185">
        <v>22.3</v>
      </c>
      <c r="V185" s="185">
        <v>32.912774999999996</v>
      </c>
      <c r="W185" s="184">
        <v>33.2042</v>
      </c>
      <c r="X185" s="185">
        <v>18.476399999999998</v>
      </c>
      <c r="Y185" s="185">
        <v>4.119399999999999</v>
      </c>
      <c r="Z185" s="185">
        <f>Annually!L194-Y185-X185-W185</f>
        <v>32.400000000000006</v>
      </c>
      <c r="AA185" s="184">
        <v>18.891</v>
      </c>
      <c r="AB185" s="185">
        <v>6.511700000000001</v>
      </c>
      <c r="AC185" s="185">
        <v>22.097299999999997</v>
      </c>
      <c r="AD185" s="185">
        <f>Annually!M194-AC185-AB185-AA185</f>
        <v>5.900000000000002</v>
      </c>
      <c r="AE185" s="184">
        <v>11.454</v>
      </c>
      <c r="AF185" s="185">
        <v>10.355900000000002</v>
      </c>
      <c r="AG185" s="257">
        <v>7.090099999999996</v>
      </c>
      <c r="AH185" s="185">
        <f>Annually!N194-AG185-AF185-AE185</f>
        <v>41.800000000000004</v>
      </c>
      <c r="AI185" s="468">
        <v>132.505356</v>
      </c>
      <c r="AJ185" s="185">
        <v>150.494644</v>
      </c>
      <c r="AK185" s="185">
        <v>161.7620560000001</v>
      </c>
      <c r="AL185" s="185">
        <f>Annually!O194-AK185-AJ185-AI185</f>
        <v>226.21190399999995</v>
      </c>
      <c r="AM185" s="468">
        <v>113.19069999999999</v>
      </c>
      <c r="AN185" s="185">
        <v>15.485599999999977</v>
      </c>
      <c r="AO185" s="185">
        <v>30.977900000000005</v>
      </c>
      <c r="AP185" s="181">
        <f>Annually!P194-AM185-AN185-AO185</f>
        <v>27.9529</v>
      </c>
      <c r="AQ185" s="468">
        <v>0</v>
      </c>
      <c r="AR185" s="185">
        <v>0</v>
      </c>
      <c r="AS185" s="185">
        <v>8.6606</v>
      </c>
      <c r="AT185" s="181">
        <f>Annually!Q194-AQ185-AR185-AS185</f>
        <v>0</v>
      </c>
      <c r="AU185" s="468">
        <v>0</v>
      </c>
      <c r="AV185" s="185">
        <v>0</v>
      </c>
      <c r="AW185" s="252">
        <v>0</v>
      </c>
      <c r="AX185" s="274">
        <f>Annually!R194-AU185-AV185-AW185</f>
        <v>0</v>
      </c>
      <c r="AY185" s="590">
        <v>0</v>
      </c>
      <c r="AZ185" s="571">
        <v>0</v>
      </c>
      <c r="BA185" s="252">
        <v>0</v>
      </c>
      <c r="BB185" s="274">
        <f>Annually!S194-AY185-AZ185-BA185</f>
        <v>0</v>
      </c>
      <c r="BC185" s="590">
        <v>0</v>
      </c>
      <c r="BD185" s="571">
        <v>0</v>
      </c>
      <c r="BE185" s="571">
        <v>7.0872</v>
      </c>
      <c r="BF185" s="274">
        <f>Annually!T194-BC185-BD185-BE185</f>
        <v>18.7941</v>
      </c>
      <c r="BG185" s="590">
        <v>0</v>
      </c>
      <c r="BH185" s="571">
        <v>0</v>
      </c>
      <c r="BI185" s="571">
        <v>0</v>
      </c>
      <c r="BJ185" s="274">
        <f>Annually!U194-BG185-BH185-BI185</f>
        <v>0</v>
      </c>
      <c r="BK185" s="519"/>
      <c r="BL185" s="158">
        <v>16.8413</v>
      </c>
      <c r="BM185" s="158">
        <v>9.358699999999999</v>
      </c>
      <c r="BN185" s="158">
        <v>9.083499999999997</v>
      </c>
      <c r="BO185" s="159">
        <v>31.421100000000003</v>
      </c>
      <c r="BP185" s="160">
        <v>14</v>
      </c>
      <c r="BQ185" s="161">
        <v>12.600000000000001</v>
      </c>
      <c r="BR185" s="161">
        <v>2.8999999999999986</v>
      </c>
      <c r="BS185" s="162">
        <f>Annually!AC194-SUM(Quarterly!BP185:BR185)</f>
        <v>44.599999999999994</v>
      </c>
      <c r="BT185" s="163">
        <v>47.3</v>
      </c>
      <c r="BU185" s="164">
        <v>4.300000000000004</v>
      </c>
      <c r="BV185" s="164">
        <v>7.399999999999999</v>
      </c>
      <c r="BW185" s="165">
        <f>Annually!AD194-Quarterly!BV185-Quarterly!BU185-Quarterly!BT185</f>
        <v>34.505999999999986</v>
      </c>
      <c r="BX185" s="163">
        <v>45.9</v>
      </c>
      <c r="BY185" s="164">
        <f>48.14991-BX185</f>
        <v>2.24991</v>
      </c>
      <c r="BZ185" s="164">
        <v>8.75009</v>
      </c>
      <c r="CA185" s="166">
        <f>-BZ185-BY185-BX185+Annually!AE194</f>
        <v>34.300000000000004</v>
      </c>
      <c r="CB185" s="163">
        <v>27.9</v>
      </c>
      <c r="CC185" s="164">
        <v>12.600000000000001</v>
      </c>
      <c r="CD185" s="164">
        <v>25.799999999999997</v>
      </c>
      <c r="CE185" s="164">
        <v>33.3</v>
      </c>
      <c r="CF185" s="163">
        <v>34.1077</v>
      </c>
      <c r="CG185" s="164">
        <v>18.3669</v>
      </c>
      <c r="CH185" s="164">
        <v>4.125399999999999</v>
      </c>
      <c r="CI185" s="164">
        <f>Annually!AG194-Quarterly!CH185-Quarterly!CG185-Quarterly!CF185</f>
        <v>32.4</v>
      </c>
      <c r="CJ185" s="163">
        <v>17.8215</v>
      </c>
      <c r="CK185" s="164">
        <v>7.552599999999998</v>
      </c>
      <c r="CL185" s="164">
        <v>13.725900000000003</v>
      </c>
      <c r="CM185" s="166">
        <f>Annually!AH194-CL185-CK185-CJ185</f>
        <v>13.5</v>
      </c>
      <c r="CN185" s="163">
        <v>10.19426</v>
      </c>
      <c r="CO185" s="164">
        <v>8.713494999999998</v>
      </c>
      <c r="CP185" s="121">
        <v>10.692245000000003</v>
      </c>
      <c r="CQ185" s="164">
        <f>Annually!AI194-CP185-CO185-CN185</f>
        <v>37.2</v>
      </c>
      <c r="CR185" s="483">
        <v>131.943556</v>
      </c>
      <c r="CS185" s="164">
        <v>155.0765</v>
      </c>
      <c r="CT185" s="164">
        <v>155.39349999999996</v>
      </c>
      <c r="CU185" s="164">
        <f>Annually!AJ194-CT185-CS185-CR185</f>
        <v>220.20070399999997</v>
      </c>
      <c r="CV185" s="163">
        <v>125.1888</v>
      </c>
      <c r="CW185" s="164">
        <v>16.52839999999999</v>
      </c>
      <c r="CX185" s="164">
        <v>30.98250000000003</v>
      </c>
      <c r="CY185" s="164">
        <f>Annually!AK194-CX185-CW185-CV185</f>
        <v>27.83040000000001</v>
      </c>
      <c r="CZ185" s="163">
        <v>0.1875</v>
      </c>
      <c r="DA185" s="121">
        <v>-0.008750000000000008</v>
      </c>
      <c r="DB185" s="121">
        <v>6.5272</v>
      </c>
      <c r="DC185" s="164">
        <f>Annually!AL194-DB185-DA185-CZ185</f>
        <v>2.1334</v>
      </c>
      <c r="DD185" s="163">
        <v>0</v>
      </c>
      <c r="DE185" s="121">
        <v>0</v>
      </c>
      <c r="DF185" s="121">
        <v>0</v>
      </c>
      <c r="DG185" s="164">
        <f>Annually!AM194-DF185-DE185-DD185</f>
        <v>0</v>
      </c>
      <c r="DH185" s="163">
        <v>0</v>
      </c>
      <c r="DI185" s="121">
        <v>0</v>
      </c>
      <c r="DJ185" s="121">
        <v>0</v>
      </c>
      <c r="DK185" s="164">
        <f>Annually!AN194-DJ185-DI185-DH185</f>
        <v>0</v>
      </c>
      <c r="DL185" s="163">
        <v>0</v>
      </c>
      <c r="DM185" s="121">
        <v>0</v>
      </c>
      <c r="DN185" s="121">
        <v>3.0412</v>
      </c>
      <c r="DO185" s="164">
        <f>Annually!AO194-DN185-DM185-DL185</f>
        <v>22.8401</v>
      </c>
      <c r="DP185" s="163">
        <v>0</v>
      </c>
      <c r="DQ185" s="121">
        <v>0</v>
      </c>
      <c r="DR185" s="121">
        <v>0</v>
      </c>
      <c r="DS185" s="164">
        <f>Annually!AP194-DR185-DQ185-DP185</f>
        <v>0</v>
      </c>
      <c r="DV185" s="63"/>
      <c r="DX185" s="63"/>
    </row>
    <row r="186" spans="1:128" ht="30.75" customHeight="1" hidden="1">
      <c r="A186" s="70" t="s">
        <v>71</v>
      </c>
      <c r="B186" s="70" t="s">
        <v>72</v>
      </c>
      <c r="C186" s="71"/>
      <c r="D186" s="71"/>
      <c r="E186" s="71"/>
      <c r="F186" s="72"/>
      <c r="G186" s="73"/>
      <c r="H186" s="71">
        <v>0</v>
      </c>
      <c r="I186" s="71">
        <v>0</v>
      </c>
      <c r="J186" s="72">
        <f>Annually!H195-SUM(G186:I186)</f>
        <v>0</v>
      </c>
      <c r="K186" s="75">
        <f aca="true" t="shared" si="590" ref="K186:U186">K188+K190+K192+K194</f>
        <v>0</v>
      </c>
      <c r="L186" s="75">
        <f t="shared" si="590"/>
        <v>0</v>
      </c>
      <c r="M186" s="75">
        <f t="shared" si="590"/>
        <v>0</v>
      </c>
      <c r="N186" s="272">
        <f t="shared" si="590"/>
        <v>0</v>
      </c>
      <c r="O186" s="74">
        <f t="shared" si="590"/>
        <v>0</v>
      </c>
      <c r="P186" s="75">
        <f t="shared" si="590"/>
        <v>0</v>
      </c>
      <c r="Q186" s="75">
        <f t="shared" si="590"/>
        <v>0</v>
      </c>
      <c r="R186" s="272">
        <f t="shared" si="590"/>
        <v>0</v>
      </c>
      <c r="S186" s="74">
        <f t="shared" si="590"/>
        <v>0</v>
      </c>
      <c r="T186" s="75">
        <f t="shared" si="590"/>
        <v>0</v>
      </c>
      <c r="U186" s="75">
        <f t="shared" si="590"/>
        <v>0</v>
      </c>
      <c r="V186" s="75">
        <f>V188+V190+V192+V194</f>
        <v>0</v>
      </c>
      <c r="W186" s="74">
        <f>W188+W190+W192+W194</f>
        <v>0</v>
      </c>
      <c r="X186" s="75"/>
      <c r="Y186" s="75"/>
      <c r="Z186" s="75"/>
      <c r="AA186" s="74"/>
      <c r="AB186" s="75"/>
      <c r="AC186" s="75"/>
      <c r="AD186" s="75"/>
      <c r="AE186" s="74"/>
      <c r="AF186" s="75"/>
      <c r="AG186" s="75"/>
      <c r="AH186" s="75"/>
      <c r="AI186" s="376"/>
      <c r="AJ186" s="75"/>
      <c r="AK186" s="75"/>
      <c r="AL186" s="75"/>
      <c r="AM186" s="376"/>
      <c r="AN186" s="75">
        <v>0</v>
      </c>
      <c r="AO186" s="75">
        <v>0</v>
      </c>
      <c r="AP186" s="75"/>
      <c r="AQ186" s="376"/>
      <c r="AR186" s="75">
        <v>0</v>
      </c>
      <c r="AS186" s="75"/>
      <c r="AT186" s="75"/>
      <c r="AU186" s="376"/>
      <c r="AV186" s="75"/>
      <c r="AW186" s="75"/>
      <c r="AX186" s="272"/>
      <c r="AY186" s="588"/>
      <c r="AZ186" s="606"/>
      <c r="BA186" s="75"/>
      <c r="BB186" s="272"/>
      <c r="BC186" s="588"/>
      <c r="BD186" s="606"/>
      <c r="BE186" s="606"/>
      <c r="BF186" s="272"/>
      <c r="BG186" s="588"/>
      <c r="BH186" s="606"/>
      <c r="BI186" s="606"/>
      <c r="BJ186" s="606"/>
      <c r="BK186" s="519"/>
      <c r="BL186" s="77"/>
      <c r="BM186" s="77"/>
      <c r="BN186" s="77"/>
      <c r="BO186" s="78"/>
      <c r="BP186" s="79"/>
      <c r="BQ186" s="80">
        <v>0</v>
      </c>
      <c r="BR186" s="80">
        <v>0</v>
      </c>
      <c r="BS186" s="81">
        <f>Annually!AC195-SUM(Quarterly!BP186:BR186)</f>
        <v>0</v>
      </c>
      <c r="BT186" s="82"/>
      <c r="BU186" s="83">
        <v>0</v>
      </c>
      <c r="BV186" s="83">
        <v>0</v>
      </c>
      <c r="BW186" s="84">
        <f>Annually!AD195-Quarterly!BV186-Quarterly!BU186-Quarterly!BT186</f>
        <v>0</v>
      </c>
      <c r="BX186" s="82"/>
      <c r="BY186" s="83"/>
      <c r="BZ186" s="83">
        <v>0</v>
      </c>
      <c r="CA186" s="85">
        <f>-BZ186-BY186-BX186+Annually!AE195</f>
        <v>0</v>
      </c>
      <c r="CB186" s="82"/>
      <c r="CC186" s="83"/>
      <c r="CD186" s="83"/>
      <c r="CE186" s="83">
        <v>0</v>
      </c>
      <c r="CF186" s="82"/>
      <c r="CG186" s="83"/>
      <c r="CH186" s="83"/>
      <c r="CI186" s="83"/>
      <c r="CJ186" s="82"/>
      <c r="CK186" s="83"/>
      <c r="CL186" s="83"/>
      <c r="CM186" s="85"/>
      <c r="CN186" s="82"/>
      <c r="CO186" s="83"/>
      <c r="CP186" s="83"/>
      <c r="CQ186" s="83"/>
      <c r="CR186" s="481"/>
      <c r="CS186" s="83"/>
      <c r="CT186" s="83"/>
      <c r="CU186" s="83"/>
      <c r="CV186" s="82"/>
      <c r="CW186" s="83"/>
      <c r="CX186" s="83"/>
      <c r="CY186" s="83"/>
      <c r="CZ186" s="82"/>
      <c r="DA186" s="83"/>
      <c r="DB186" s="83"/>
      <c r="DC186" s="83"/>
      <c r="DD186" s="82"/>
      <c r="DE186" s="83"/>
      <c r="DF186" s="83"/>
      <c r="DG186" s="83"/>
      <c r="DH186" s="82"/>
      <c r="DI186" s="83"/>
      <c r="DJ186" s="83"/>
      <c r="DK186" s="83"/>
      <c r="DL186" s="82"/>
      <c r="DM186" s="83"/>
      <c r="DN186" s="83"/>
      <c r="DO186" s="83"/>
      <c r="DP186" s="82"/>
      <c r="DQ186" s="83"/>
      <c r="DR186" s="83"/>
      <c r="DS186" s="83"/>
      <c r="DV186" s="63"/>
      <c r="DX186" s="63"/>
    </row>
    <row r="187" spans="1:128" ht="15.75" customHeight="1" hidden="1">
      <c r="A187" s="100" t="s">
        <v>99</v>
      </c>
      <c r="B187" s="186" t="s">
        <v>93</v>
      </c>
      <c r="C187" s="118"/>
      <c r="D187" s="118"/>
      <c r="E187" s="118"/>
      <c r="F187" s="119"/>
      <c r="G187" s="120"/>
      <c r="H187" s="118">
        <v>0</v>
      </c>
      <c r="I187" s="118">
        <v>0</v>
      </c>
      <c r="J187" s="119">
        <f>Annually!H196-SUM(G187:I187)</f>
        <v>0</v>
      </c>
      <c r="K187" s="185">
        <f aca="true" t="shared" si="591" ref="K187:U187">K189+K191+K193+K195</f>
        <v>0</v>
      </c>
      <c r="L187" s="185">
        <f t="shared" si="591"/>
        <v>0</v>
      </c>
      <c r="M187" s="185">
        <f t="shared" si="591"/>
        <v>0</v>
      </c>
      <c r="N187" s="274">
        <f t="shared" si="591"/>
        <v>0</v>
      </c>
      <c r="O187" s="184">
        <f t="shared" si="591"/>
        <v>0</v>
      </c>
      <c r="P187" s="185">
        <f t="shared" si="591"/>
        <v>0</v>
      </c>
      <c r="Q187" s="185">
        <f t="shared" si="591"/>
        <v>0</v>
      </c>
      <c r="R187" s="274">
        <f t="shared" si="591"/>
        <v>0</v>
      </c>
      <c r="S187" s="184">
        <f t="shared" si="591"/>
        <v>0</v>
      </c>
      <c r="T187" s="185">
        <f t="shared" si="591"/>
        <v>0</v>
      </c>
      <c r="U187" s="185">
        <f t="shared" si="591"/>
        <v>0</v>
      </c>
      <c r="V187" s="185">
        <f>V189+V191+V193+V195</f>
        <v>0</v>
      </c>
      <c r="W187" s="184">
        <f>W189+W191+W193+W195</f>
        <v>0</v>
      </c>
      <c r="X187" s="185"/>
      <c r="Y187" s="185"/>
      <c r="Z187" s="185"/>
      <c r="AA187" s="184"/>
      <c r="AB187" s="185"/>
      <c r="AC187" s="185"/>
      <c r="AD187" s="185"/>
      <c r="AE187" s="184"/>
      <c r="AF187" s="185"/>
      <c r="AG187" s="185"/>
      <c r="AH187" s="185"/>
      <c r="AI187" s="468"/>
      <c r="AJ187" s="185"/>
      <c r="AK187" s="185"/>
      <c r="AL187" s="185"/>
      <c r="AM187" s="468"/>
      <c r="AN187" s="185">
        <v>0</v>
      </c>
      <c r="AO187" s="185">
        <v>0</v>
      </c>
      <c r="AP187" s="185"/>
      <c r="AQ187" s="468"/>
      <c r="AR187" s="185">
        <v>0</v>
      </c>
      <c r="AS187" s="185"/>
      <c r="AT187" s="185"/>
      <c r="AU187" s="468"/>
      <c r="AV187" s="185"/>
      <c r="AW187" s="185"/>
      <c r="AX187" s="274"/>
      <c r="AY187" s="590"/>
      <c r="AZ187" s="571"/>
      <c r="BA187" s="185"/>
      <c r="BB187" s="274"/>
      <c r="BC187" s="590"/>
      <c r="BD187" s="571"/>
      <c r="BE187" s="571"/>
      <c r="BF187" s="274"/>
      <c r="BG187" s="590"/>
      <c r="BH187" s="571"/>
      <c r="BI187" s="571"/>
      <c r="BJ187" s="571"/>
      <c r="BK187" s="519"/>
      <c r="BL187" s="158"/>
      <c r="BM187" s="158"/>
      <c r="BN187" s="158"/>
      <c r="BO187" s="159"/>
      <c r="BP187" s="160"/>
      <c r="BQ187" s="161">
        <v>0</v>
      </c>
      <c r="BR187" s="161">
        <v>0</v>
      </c>
      <c r="BS187" s="162">
        <f>Annually!AC196-SUM(Quarterly!BP187:BR187)</f>
        <v>0</v>
      </c>
      <c r="BT187" s="163"/>
      <c r="BU187" s="164">
        <v>0</v>
      </c>
      <c r="BV187" s="164">
        <v>0</v>
      </c>
      <c r="BW187" s="165">
        <f>Annually!AD196-Quarterly!BV187-Quarterly!BU187-Quarterly!BT187</f>
        <v>0</v>
      </c>
      <c r="BX187" s="163"/>
      <c r="BY187" s="164"/>
      <c r="BZ187" s="164">
        <v>0</v>
      </c>
      <c r="CA187" s="166">
        <f>-BZ187-BY187-BX187+Annually!AE196</f>
        <v>0</v>
      </c>
      <c r="CB187" s="163"/>
      <c r="CC187" s="164"/>
      <c r="CD187" s="164"/>
      <c r="CE187" s="164">
        <v>0</v>
      </c>
      <c r="CF187" s="163"/>
      <c r="CG187" s="164"/>
      <c r="CH187" s="164"/>
      <c r="CI187" s="164"/>
      <c r="CJ187" s="163"/>
      <c r="CK187" s="164"/>
      <c r="CL187" s="164"/>
      <c r="CM187" s="166"/>
      <c r="CN187" s="163"/>
      <c r="CO187" s="164"/>
      <c r="CP187" s="164"/>
      <c r="CQ187" s="164"/>
      <c r="CR187" s="483"/>
      <c r="CS187" s="164"/>
      <c r="CT187" s="164"/>
      <c r="CU187" s="164"/>
      <c r="CV187" s="163"/>
      <c r="CW187" s="164"/>
      <c r="CX187" s="164"/>
      <c r="CY187" s="164"/>
      <c r="CZ187" s="163"/>
      <c r="DA187" s="164"/>
      <c r="DB187" s="164"/>
      <c r="DC187" s="164"/>
      <c r="DD187" s="163"/>
      <c r="DE187" s="164"/>
      <c r="DF187" s="164"/>
      <c r="DG187" s="164"/>
      <c r="DH187" s="163"/>
      <c r="DI187" s="164"/>
      <c r="DJ187" s="164"/>
      <c r="DK187" s="164"/>
      <c r="DL187" s="163"/>
      <c r="DM187" s="164"/>
      <c r="DN187" s="164"/>
      <c r="DO187" s="164"/>
      <c r="DP187" s="163"/>
      <c r="DQ187" s="164"/>
      <c r="DR187" s="164"/>
      <c r="DS187" s="164"/>
      <c r="DV187" s="63"/>
      <c r="DX187" s="63"/>
    </row>
    <row r="188" spans="1:128" ht="15" customHeight="1" hidden="1">
      <c r="A188" s="117" t="s">
        <v>73</v>
      </c>
      <c r="B188" s="117" t="s">
        <v>74</v>
      </c>
      <c r="C188" s="118"/>
      <c r="D188" s="118"/>
      <c r="E188" s="118"/>
      <c r="F188" s="119"/>
      <c r="G188" s="120"/>
      <c r="H188" s="118">
        <v>0</v>
      </c>
      <c r="I188" s="118">
        <v>0</v>
      </c>
      <c r="J188" s="119">
        <f>Annually!H197-SUM(G188:I188)</f>
        <v>0</v>
      </c>
      <c r="K188" s="184"/>
      <c r="L188" s="185">
        <v>0</v>
      </c>
      <c r="M188" s="185">
        <v>0</v>
      </c>
      <c r="N188" s="274">
        <f>Annually!I197-M188-L188-K188</f>
        <v>0</v>
      </c>
      <c r="O188" s="184"/>
      <c r="P188" s="185"/>
      <c r="Q188" s="185">
        <v>0</v>
      </c>
      <c r="R188" s="274">
        <f>-Q188-P188-O188+Annually!J197</f>
        <v>0</v>
      </c>
      <c r="S188" s="184">
        <v>0</v>
      </c>
      <c r="T188" s="185">
        <v>0</v>
      </c>
      <c r="U188" s="185">
        <v>0</v>
      </c>
      <c r="V188" s="185">
        <v>0</v>
      </c>
      <c r="W188" s="184">
        <v>0</v>
      </c>
      <c r="X188" s="185"/>
      <c r="Y188" s="185"/>
      <c r="Z188" s="185"/>
      <c r="AA188" s="184"/>
      <c r="AB188" s="185"/>
      <c r="AC188" s="185"/>
      <c r="AD188" s="185"/>
      <c r="AE188" s="184"/>
      <c r="AF188" s="185"/>
      <c r="AG188" s="185"/>
      <c r="AH188" s="185"/>
      <c r="AI188" s="468"/>
      <c r="AJ188" s="185"/>
      <c r="AK188" s="185"/>
      <c r="AL188" s="185"/>
      <c r="AM188" s="468"/>
      <c r="AN188" s="185">
        <v>0</v>
      </c>
      <c r="AO188" s="185">
        <v>0</v>
      </c>
      <c r="AP188" s="185"/>
      <c r="AQ188" s="468"/>
      <c r="AR188" s="185">
        <v>0</v>
      </c>
      <c r="AS188" s="185"/>
      <c r="AT188" s="185"/>
      <c r="AU188" s="468"/>
      <c r="AV188" s="185"/>
      <c r="AW188" s="185"/>
      <c r="AX188" s="274"/>
      <c r="AY188" s="590"/>
      <c r="AZ188" s="571"/>
      <c r="BA188" s="185"/>
      <c r="BB188" s="274"/>
      <c r="BC188" s="590"/>
      <c r="BD188" s="571"/>
      <c r="BE188" s="571"/>
      <c r="BF188" s="274"/>
      <c r="BG188" s="590"/>
      <c r="BH188" s="571"/>
      <c r="BI188" s="571"/>
      <c r="BJ188" s="571"/>
      <c r="BK188" s="519"/>
      <c r="BL188" s="158"/>
      <c r="BM188" s="158"/>
      <c r="BN188" s="158"/>
      <c r="BO188" s="159"/>
      <c r="BP188" s="160"/>
      <c r="BQ188" s="161">
        <v>0</v>
      </c>
      <c r="BR188" s="161">
        <v>0</v>
      </c>
      <c r="BS188" s="162">
        <f>Annually!AC197-SUM(Quarterly!BP188:BR188)</f>
        <v>0</v>
      </c>
      <c r="BT188" s="163"/>
      <c r="BU188" s="164">
        <v>0</v>
      </c>
      <c r="BV188" s="164">
        <v>0</v>
      </c>
      <c r="BW188" s="165">
        <f>Annually!AD197-Quarterly!BV188-Quarterly!BU188-Quarterly!BT188</f>
        <v>0</v>
      </c>
      <c r="BX188" s="163"/>
      <c r="BY188" s="164"/>
      <c r="BZ188" s="164">
        <v>0</v>
      </c>
      <c r="CA188" s="166">
        <f>-BZ188-BY188-BX188+Annually!AE197</f>
        <v>0</v>
      </c>
      <c r="CB188" s="163"/>
      <c r="CC188" s="164"/>
      <c r="CD188" s="164"/>
      <c r="CE188" s="164">
        <v>0</v>
      </c>
      <c r="CF188" s="163"/>
      <c r="CG188" s="164"/>
      <c r="CH188" s="164"/>
      <c r="CI188" s="164"/>
      <c r="CJ188" s="163"/>
      <c r="CK188" s="164"/>
      <c r="CL188" s="164"/>
      <c r="CM188" s="166"/>
      <c r="CN188" s="163"/>
      <c r="CO188" s="164"/>
      <c r="CP188" s="164"/>
      <c r="CQ188" s="164"/>
      <c r="CR188" s="483"/>
      <c r="CS188" s="164"/>
      <c r="CT188" s="164"/>
      <c r="CU188" s="164"/>
      <c r="CV188" s="163"/>
      <c r="CW188" s="164"/>
      <c r="CX188" s="164"/>
      <c r="CY188" s="164"/>
      <c r="CZ188" s="163"/>
      <c r="DA188" s="164"/>
      <c r="DB188" s="164"/>
      <c r="DC188" s="164"/>
      <c r="DD188" s="163"/>
      <c r="DE188" s="164"/>
      <c r="DF188" s="164"/>
      <c r="DG188" s="164"/>
      <c r="DH188" s="163"/>
      <c r="DI188" s="164"/>
      <c r="DJ188" s="164"/>
      <c r="DK188" s="164"/>
      <c r="DL188" s="163"/>
      <c r="DM188" s="164"/>
      <c r="DN188" s="164"/>
      <c r="DO188" s="164"/>
      <c r="DP188" s="163"/>
      <c r="DQ188" s="164"/>
      <c r="DR188" s="164"/>
      <c r="DS188" s="164"/>
      <c r="DV188" s="63"/>
      <c r="DX188" s="63"/>
    </row>
    <row r="189" spans="1:128" ht="15.75" customHeight="1" hidden="1">
      <c r="A189" s="100" t="s">
        <v>99</v>
      </c>
      <c r="B189" s="186" t="s">
        <v>93</v>
      </c>
      <c r="C189" s="118"/>
      <c r="D189" s="118"/>
      <c r="E189" s="118"/>
      <c r="F189" s="119"/>
      <c r="G189" s="120"/>
      <c r="H189" s="118">
        <v>0</v>
      </c>
      <c r="I189" s="118">
        <v>0</v>
      </c>
      <c r="J189" s="119">
        <f>Annually!H198-SUM(G189:I189)</f>
        <v>0</v>
      </c>
      <c r="K189" s="184"/>
      <c r="L189" s="185">
        <v>0</v>
      </c>
      <c r="M189" s="185">
        <v>0</v>
      </c>
      <c r="N189" s="274">
        <f>Annually!I198-M189-L189-K189</f>
        <v>0</v>
      </c>
      <c r="O189" s="184"/>
      <c r="P189" s="185"/>
      <c r="Q189" s="185">
        <v>0</v>
      </c>
      <c r="R189" s="274">
        <f>-Q189-P189-O189+Annually!J198</f>
        <v>0</v>
      </c>
      <c r="S189" s="184">
        <v>0</v>
      </c>
      <c r="T189" s="185">
        <v>0</v>
      </c>
      <c r="U189" s="185">
        <v>0</v>
      </c>
      <c r="V189" s="185">
        <v>0</v>
      </c>
      <c r="W189" s="184">
        <v>0</v>
      </c>
      <c r="X189" s="185"/>
      <c r="Y189" s="185"/>
      <c r="Z189" s="185"/>
      <c r="AA189" s="184"/>
      <c r="AB189" s="185"/>
      <c r="AC189" s="185"/>
      <c r="AD189" s="185"/>
      <c r="AE189" s="184"/>
      <c r="AF189" s="185"/>
      <c r="AG189" s="185"/>
      <c r="AH189" s="185"/>
      <c r="AI189" s="468"/>
      <c r="AJ189" s="185"/>
      <c r="AK189" s="185"/>
      <c r="AL189" s="185"/>
      <c r="AM189" s="468"/>
      <c r="AN189" s="185">
        <v>0</v>
      </c>
      <c r="AO189" s="185">
        <v>0</v>
      </c>
      <c r="AP189" s="185"/>
      <c r="AQ189" s="468"/>
      <c r="AR189" s="185">
        <v>0</v>
      </c>
      <c r="AS189" s="185"/>
      <c r="AT189" s="185"/>
      <c r="AU189" s="468"/>
      <c r="AV189" s="185"/>
      <c r="AW189" s="185"/>
      <c r="AX189" s="274"/>
      <c r="AY189" s="590"/>
      <c r="AZ189" s="571"/>
      <c r="BA189" s="185"/>
      <c r="BB189" s="274"/>
      <c r="BC189" s="590"/>
      <c r="BD189" s="571"/>
      <c r="BE189" s="571"/>
      <c r="BF189" s="274"/>
      <c r="BG189" s="590"/>
      <c r="BH189" s="571"/>
      <c r="BI189" s="571"/>
      <c r="BJ189" s="571"/>
      <c r="BK189" s="519"/>
      <c r="BL189" s="158"/>
      <c r="BM189" s="158"/>
      <c r="BN189" s="158"/>
      <c r="BO189" s="159"/>
      <c r="BP189" s="160"/>
      <c r="BQ189" s="161">
        <v>0</v>
      </c>
      <c r="BR189" s="161">
        <v>0</v>
      </c>
      <c r="BS189" s="162">
        <f>Annually!AC198-SUM(Quarterly!BP189:BR189)</f>
        <v>0</v>
      </c>
      <c r="BT189" s="163"/>
      <c r="BU189" s="164">
        <v>0</v>
      </c>
      <c r="BV189" s="164">
        <v>0</v>
      </c>
      <c r="BW189" s="165">
        <f>Annually!AD198-Quarterly!BV189-Quarterly!BU189-Quarterly!BT189</f>
        <v>0</v>
      </c>
      <c r="BX189" s="163"/>
      <c r="BY189" s="164"/>
      <c r="BZ189" s="164">
        <v>0</v>
      </c>
      <c r="CA189" s="166">
        <f>-BZ189-BY189-BX189+Annually!AE198</f>
        <v>0</v>
      </c>
      <c r="CB189" s="163"/>
      <c r="CC189" s="164"/>
      <c r="CD189" s="164"/>
      <c r="CE189" s="164">
        <v>0</v>
      </c>
      <c r="CF189" s="163"/>
      <c r="CG189" s="164"/>
      <c r="CH189" s="164"/>
      <c r="CI189" s="164"/>
      <c r="CJ189" s="163"/>
      <c r="CK189" s="164"/>
      <c r="CL189" s="164"/>
      <c r="CM189" s="166"/>
      <c r="CN189" s="163"/>
      <c r="CO189" s="164"/>
      <c r="CP189" s="164"/>
      <c r="CQ189" s="164"/>
      <c r="CR189" s="483"/>
      <c r="CS189" s="164"/>
      <c r="CT189" s="164"/>
      <c r="CU189" s="164"/>
      <c r="CV189" s="163"/>
      <c r="CW189" s="164"/>
      <c r="CX189" s="164"/>
      <c r="CY189" s="164"/>
      <c r="CZ189" s="163"/>
      <c r="DA189" s="164"/>
      <c r="DB189" s="164"/>
      <c r="DC189" s="164"/>
      <c r="DD189" s="163"/>
      <c r="DE189" s="164"/>
      <c r="DF189" s="164"/>
      <c r="DG189" s="164"/>
      <c r="DH189" s="163"/>
      <c r="DI189" s="164"/>
      <c r="DJ189" s="164"/>
      <c r="DK189" s="164"/>
      <c r="DL189" s="163"/>
      <c r="DM189" s="164"/>
      <c r="DN189" s="164"/>
      <c r="DO189" s="164"/>
      <c r="DP189" s="163"/>
      <c r="DQ189" s="164"/>
      <c r="DR189" s="164"/>
      <c r="DS189" s="164"/>
      <c r="DV189" s="63"/>
      <c r="DX189" s="63"/>
    </row>
    <row r="190" spans="1:128" ht="15.75" customHeight="1" hidden="1">
      <c r="A190" s="117" t="s">
        <v>75</v>
      </c>
      <c r="B190" s="117" t="s">
        <v>76</v>
      </c>
      <c r="C190" s="118"/>
      <c r="D190" s="118"/>
      <c r="E190" s="118"/>
      <c r="F190" s="119"/>
      <c r="G190" s="120"/>
      <c r="H190" s="118">
        <v>0</v>
      </c>
      <c r="I190" s="118">
        <v>0</v>
      </c>
      <c r="J190" s="119">
        <f>Annually!H199-SUM(G190:I190)</f>
        <v>0</v>
      </c>
      <c r="K190" s="184"/>
      <c r="L190" s="185">
        <v>0</v>
      </c>
      <c r="M190" s="185">
        <v>0</v>
      </c>
      <c r="N190" s="274">
        <f>Annually!I199-M190-L190-K190</f>
        <v>0</v>
      </c>
      <c r="O190" s="184"/>
      <c r="P190" s="185"/>
      <c r="Q190" s="185">
        <v>0</v>
      </c>
      <c r="R190" s="274">
        <f>-Q190-P190-O190+Annually!J199</f>
        <v>0</v>
      </c>
      <c r="S190" s="184">
        <v>0</v>
      </c>
      <c r="T190" s="185">
        <v>0</v>
      </c>
      <c r="U190" s="185">
        <v>0</v>
      </c>
      <c r="V190" s="185">
        <v>0</v>
      </c>
      <c r="W190" s="184">
        <v>0</v>
      </c>
      <c r="X190" s="185"/>
      <c r="Y190" s="185"/>
      <c r="Z190" s="185"/>
      <c r="AA190" s="184"/>
      <c r="AB190" s="185"/>
      <c r="AC190" s="185"/>
      <c r="AD190" s="185"/>
      <c r="AE190" s="184"/>
      <c r="AF190" s="185"/>
      <c r="AG190" s="185"/>
      <c r="AH190" s="185"/>
      <c r="AI190" s="468"/>
      <c r="AJ190" s="185"/>
      <c r="AK190" s="185"/>
      <c r="AL190" s="185"/>
      <c r="AM190" s="468"/>
      <c r="AN190" s="185">
        <v>0</v>
      </c>
      <c r="AO190" s="185">
        <v>0</v>
      </c>
      <c r="AP190" s="185"/>
      <c r="AQ190" s="468"/>
      <c r="AR190" s="185">
        <v>0</v>
      </c>
      <c r="AS190" s="185"/>
      <c r="AT190" s="185"/>
      <c r="AU190" s="468"/>
      <c r="AV190" s="185"/>
      <c r="AW190" s="185"/>
      <c r="AX190" s="274"/>
      <c r="AY190" s="590"/>
      <c r="AZ190" s="571"/>
      <c r="BA190" s="185"/>
      <c r="BB190" s="274"/>
      <c r="BC190" s="590"/>
      <c r="BD190" s="571"/>
      <c r="BE190" s="571"/>
      <c r="BF190" s="274"/>
      <c r="BG190" s="590"/>
      <c r="BH190" s="571"/>
      <c r="BI190" s="571"/>
      <c r="BJ190" s="571"/>
      <c r="BK190" s="519"/>
      <c r="BL190" s="158"/>
      <c r="BM190" s="158"/>
      <c r="BN190" s="158"/>
      <c r="BO190" s="159"/>
      <c r="BP190" s="160"/>
      <c r="BQ190" s="161">
        <v>0</v>
      </c>
      <c r="BR190" s="161">
        <v>0</v>
      </c>
      <c r="BS190" s="162">
        <f>Annually!AC199-SUM(Quarterly!BP190:BR190)</f>
        <v>0</v>
      </c>
      <c r="BT190" s="163"/>
      <c r="BU190" s="164">
        <v>0</v>
      </c>
      <c r="BV190" s="164">
        <v>0</v>
      </c>
      <c r="BW190" s="165">
        <f>Annually!AD199-Quarterly!BV190-Quarterly!BU190-Quarterly!BT190</f>
        <v>0</v>
      </c>
      <c r="BX190" s="163"/>
      <c r="BY190" s="164"/>
      <c r="BZ190" s="164">
        <v>0</v>
      </c>
      <c r="CA190" s="166">
        <f>-BZ190-BY190-BX190+Annually!AE199</f>
        <v>0</v>
      </c>
      <c r="CB190" s="163"/>
      <c r="CC190" s="164"/>
      <c r="CD190" s="164"/>
      <c r="CE190" s="164">
        <v>0</v>
      </c>
      <c r="CF190" s="163"/>
      <c r="CG190" s="164"/>
      <c r="CH190" s="164"/>
      <c r="CI190" s="164"/>
      <c r="CJ190" s="163"/>
      <c r="CK190" s="164"/>
      <c r="CL190" s="164"/>
      <c r="CM190" s="166"/>
      <c r="CN190" s="163"/>
      <c r="CO190" s="164"/>
      <c r="CP190" s="164"/>
      <c r="CQ190" s="164"/>
      <c r="CR190" s="483"/>
      <c r="CS190" s="164"/>
      <c r="CT190" s="164"/>
      <c r="CU190" s="164"/>
      <c r="CV190" s="163"/>
      <c r="CW190" s="164"/>
      <c r="CX190" s="164"/>
      <c r="CY190" s="164"/>
      <c r="CZ190" s="163"/>
      <c r="DA190" s="164"/>
      <c r="DB190" s="164"/>
      <c r="DC190" s="164"/>
      <c r="DD190" s="163"/>
      <c r="DE190" s="164"/>
      <c r="DF190" s="164"/>
      <c r="DG190" s="164"/>
      <c r="DH190" s="163"/>
      <c r="DI190" s="164"/>
      <c r="DJ190" s="164"/>
      <c r="DK190" s="164"/>
      <c r="DL190" s="163"/>
      <c r="DM190" s="164"/>
      <c r="DN190" s="164"/>
      <c r="DO190" s="164"/>
      <c r="DP190" s="163"/>
      <c r="DQ190" s="164"/>
      <c r="DR190" s="164"/>
      <c r="DS190" s="164"/>
      <c r="DV190" s="63"/>
      <c r="DX190" s="63"/>
    </row>
    <row r="191" spans="1:128" ht="15" customHeight="1" hidden="1">
      <c r="A191" s="100" t="s">
        <v>99</v>
      </c>
      <c r="B191" s="186" t="s">
        <v>93</v>
      </c>
      <c r="C191" s="118"/>
      <c r="D191" s="118"/>
      <c r="E191" s="118"/>
      <c r="F191" s="119"/>
      <c r="G191" s="120"/>
      <c r="H191" s="118">
        <v>0</v>
      </c>
      <c r="I191" s="118">
        <v>0</v>
      </c>
      <c r="J191" s="119">
        <f>Annually!H200-SUM(G191:I191)</f>
        <v>0</v>
      </c>
      <c r="K191" s="184"/>
      <c r="L191" s="185">
        <v>0</v>
      </c>
      <c r="M191" s="185">
        <v>0</v>
      </c>
      <c r="N191" s="274">
        <f>Annually!I200-M191-L191-K191</f>
        <v>0</v>
      </c>
      <c r="O191" s="184"/>
      <c r="P191" s="185"/>
      <c r="Q191" s="185">
        <v>0</v>
      </c>
      <c r="R191" s="274">
        <f>-Q191-P191-O191+Annually!J200</f>
        <v>0</v>
      </c>
      <c r="S191" s="184">
        <v>0</v>
      </c>
      <c r="T191" s="185">
        <v>0</v>
      </c>
      <c r="U191" s="185">
        <v>0</v>
      </c>
      <c r="V191" s="185">
        <v>0</v>
      </c>
      <c r="W191" s="184">
        <v>0</v>
      </c>
      <c r="X191" s="185"/>
      <c r="Y191" s="185"/>
      <c r="Z191" s="185"/>
      <c r="AA191" s="184"/>
      <c r="AB191" s="185"/>
      <c r="AC191" s="185"/>
      <c r="AD191" s="185"/>
      <c r="AE191" s="184"/>
      <c r="AF191" s="185"/>
      <c r="AG191" s="185"/>
      <c r="AH191" s="185"/>
      <c r="AI191" s="468"/>
      <c r="AJ191" s="185"/>
      <c r="AK191" s="185"/>
      <c r="AL191" s="185"/>
      <c r="AM191" s="468"/>
      <c r="AN191" s="185">
        <v>0</v>
      </c>
      <c r="AO191" s="185">
        <v>0</v>
      </c>
      <c r="AP191" s="185"/>
      <c r="AQ191" s="468"/>
      <c r="AR191" s="185">
        <v>0</v>
      </c>
      <c r="AS191" s="185"/>
      <c r="AT191" s="185"/>
      <c r="AU191" s="468"/>
      <c r="AV191" s="185"/>
      <c r="AW191" s="185"/>
      <c r="AX191" s="274"/>
      <c r="AY191" s="590"/>
      <c r="AZ191" s="571"/>
      <c r="BA191" s="185"/>
      <c r="BB191" s="274"/>
      <c r="BC191" s="590"/>
      <c r="BD191" s="571"/>
      <c r="BE191" s="571"/>
      <c r="BF191" s="274"/>
      <c r="BG191" s="590"/>
      <c r="BH191" s="571"/>
      <c r="BI191" s="571"/>
      <c r="BJ191" s="571"/>
      <c r="BK191" s="519"/>
      <c r="BL191" s="158"/>
      <c r="BM191" s="158"/>
      <c r="BN191" s="158"/>
      <c r="BO191" s="159"/>
      <c r="BP191" s="160"/>
      <c r="BQ191" s="161">
        <v>0</v>
      </c>
      <c r="BR191" s="161">
        <v>0</v>
      </c>
      <c r="BS191" s="162">
        <f>Annually!AC200-SUM(Quarterly!BP191:BR191)</f>
        <v>0</v>
      </c>
      <c r="BT191" s="163"/>
      <c r="BU191" s="164">
        <v>0</v>
      </c>
      <c r="BV191" s="164">
        <v>0</v>
      </c>
      <c r="BW191" s="165">
        <f>Annually!AD200-Quarterly!BV191-Quarterly!BU191-Quarterly!BT191</f>
        <v>0</v>
      </c>
      <c r="BX191" s="163"/>
      <c r="BY191" s="164"/>
      <c r="BZ191" s="164">
        <v>0</v>
      </c>
      <c r="CA191" s="166">
        <f>-BZ191-BY191-BX191+Annually!AE200</f>
        <v>0</v>
      </c>
      <c r="CB191" s="163"/>
      <c r="CC191" s="164"/>
      <c r="CD191" s="164"/>
      <c r="CE191" s="164">
        <v>0</v>
      </c>
      <c r="CF191" s="163"/>
      <c r="CG191" s="164"/>
      <c r="CH191" s="164"/>
      <c r="CI191" s="164"/>
      <c r="CJ191" s="163"/>
      <c r="CK191" s="164"/>
      <c r="CL191" s="164"/>
      <c r="CM191" s="166"/>
      <c r="CN191" s="163"/>
      <c r="CO191" s="164"/>
      <c r="CP191" s="164"/>
      <c r="CQ191" s="164"/>
      <c r="CR191" s="483"/>
      <c r="CS191" s="164"/>
      <c r="CT191" s="164"/>
      <c r="CU191" s="164"/>
      <c r="CV191" s="163"/>
      <c r="CW191" s="164"/>
      <c r="CX191" s="164"/>
      <c r="CY191" s="164"/>
      <c r="CZ191" s="163"/>
      <c r="DA191" s="164"/>
      <c r="DB191" s="164"/>
      <c r="DC191" s="164"/>
      <c r="DD191" s="163"/>
      <c r="DE191" s="164"/>
      <c r="DF191" s="164"/>
      <c r="DG191" s="164"/>
      <c r="DH191" s="163"/>
      <c r="DI191" s="164"/>
      <c r="DJ191" s="164"/>
      <c r="DK191" s="164"/>
      <c r="DL191" s="163"/>
      <c r="DM191" s="164"/>
      <c r="DN191" s="164"/>
      <c r="DO191" s="164"/>
      <c r="DP191" s="163"/>
      <c r="DQ191" s="164"/>
      <c r="DR191" s="164"/>
      <c r="DS191" s="164"/>
      <c r="DV191" s="63"/>
      <c r="DX191" s="63"/>
    </row>
    <row r="192" spans="1:128" ht="30" customHeight="1" hidden="1">
      <c r="A192" s="117" t="s">
        <v>77</v>
      </c>
      <c r="B192" s="117" t="s">
        <v>78</v>
      </c>
      <c r="C192" s="118"/>
      <c r="D192" s="118"/>
      <c r="E192" s="118"/>
      <c r="F192" s="119"/>
      <c r="G192" s="120"/>
      <c r="H192" s="118">
        <v>0</v>
      </c>
      <c r="I192" s="118">
        <v>0</v>
      </c>
      <c r="J192" s="119">
        <f>Annually!H201-SUM(G192:I192)</f>
        <v>0</v>
      </c>
      <c r="K192" s="184"/>
      <c r="L192" s="185">
        <v>0</v>
      </c>
      <c r="M192" s="185">
        <v>0</v>
      </c>
      <c r="N192" s="274">
        <f>Annually!I201-M192-L192-K192</f>
        <v>0</v>
      </c>
      <c r="O192" s="184"/>
      <c r="P192" s="185"/>
      <c r="Q192" s="185">
        <v>0</v>
      </c>
      <c r="R192" s="274">
        <f>-Q192-P192-O192+Annually!J201</f>
        <v>0</v>
      </c>
      <c r="S192" s="184">
        <v>0</v>
      </c>
      <c r="T192" s="185">
        <v>0</v>
      </c>
      <c r="U192" s="185">
        <v>0</v>
      </c>
      <c r="V192" s="185">
        <v>0</v>
      </c>
      <c r="W192" s="184">
        <v>0</v>
      </c>
      <c r="X192" s="185"/>
      <c r="Y192" s="185"/>
      <c r="Z192" s="185"/>
      <c r="AA192" s="184"/>
      <c r="AB192" s="185"/>
      <c r="AC192" s="185"/>
      <c r="AD192" s="185"/>
      <c r="AE192" s="184"/>
      <c r="AF192" s="185"/>
      <c r="AG192" s="185"/>
      <c r="AH192" s="185"/>
      <c r="AI192" s="468"/>
      <c r="AJ192" s="185"/>
      <c r="AK192" s="185"/>
      <c r="AL192" s="185"/>
      <c r="AM192" s="468"/>
      <c r="AN192" s="185">
        <v>0</v>
      </c>
      <c r="AO192" s="185">
        <v>0</v>
      </c>
      <c r="AP192" s="185"/>
      <c r="AQ192" s="468"/>
      <c r="AR192" s="185">
        <v>0</v>
      </c>
      <c r="AS192" s="185"/>
      <c r="AT192" s="185"/>
      <c r="AU192" s="468"/>
      <c r="AV192" s="185"/>
      <c r="AW192" s="185"/>
      <c r="AX192" s="274"/>
      <c r="AY192" s="590"/>
      <c r="AZ192" s="571"/>
      <c r="BA192" s="185"/>
      <c r="BB192" s="274"/>
      <c r="BC192" s="590"/>
      <c r="BD192" s="571"/>
      <c r="BE192" s="571"/>
      <c r="BF192" s="274"/>
      <c r="BG192" s="590"/>
      <c r="BH192" s="571"/>
      <c r="BI192" s="571"/>
      <c r="BJ192" s="571"/>
      <c r="BK192" s="519"/>
      <c r="BL192" s="158"/>
      <c r="BM192" s="158"/>
      <c r="BN192" s="158"/>
      <c r="BO192" s="159"/>
      <c r="BP192" s="160"/>
      <c r="BQ192" s="161">
        <v>0</v>
      </c>
      <c r="BR192" s="161">
        <v>0</v>
      </c>
      <c r="BS192" s="162">
        <f>Annually!AC201-SUM(Quarterly!BP192:BR192)</f>
        <v>0</v>
      </c>
      <c r="BT192" s="163"/>
      <c r="BU192" s="164">
        <v>0</v>
      </c>
      <c r="BV192" s="164">
        <v>0</v>
      </c>
      <c r="BW192" s="165">
        <f>Annually!AD201-Quarterly!BV192-Quarterly!BU192-Quarterly!BT192</f>
        <v>0</v>
      </c>
      <c r="BX192" s="163"/>
      <c r="BY192" s="164"/>
      <c r="BZ192" s="164">
        <v>0</v>
      </c>
      <c r="CA192" s="166">
        <f>-BZ192-BY192-BX192+Annually!AE201</f>
        <v>0</v>
      </c>
      <c r="CB192" s="163"/>
      <c r="CC192" s="164"/>
      <c r="CD192" s="164"/>
      <c r="CE192" s="164">
        <v>0</v>
      </c>
      <c r="CF192" s="163"/>
      <c r="CG192" s="164"/>
      <c r="CH192" s="164"/>
      <c r="CI192" s="164"/>
      <c r="CJ192" s="163"/>
      <c r="CK192" s="164"/>
      <c r="CL192" s="164"/>
      <c r="CM192" s="166"/>
      <c r="CN192" s="163"/>
      <c r="CO192" s="164"/>
      <c r="CP192" s="164"/>
      <c r="CQ192" s="164"/>
      <c r="CR192" s="483"/>
      <c r="CS192" s="164"/>
      <c r="CT192" s="164"/>
      <c r="CU192" s="164"/>
      <c r="CV192" s="163"/>
      <c r="CW192" s="164"/>
      <c r="CX192" s="164"/>
      <c r="CY192" s="164"/>
      <c r="CZ192" s="163"/>
      <c r="DA192" s="164"/>
      <c r="DB192" s="164"/>
      <c r="DC192" s="164"/>
      <c r="DD192" s="163"/>
      <c r="DE192" s="164"/>
      <c r="DF192" s="164"/>
      <c r="DG192" s="164"/>
      <c r="DH192" s="163"/>
      <c r="DI192" s="164"/>
      <c r="DJ192" s="164"/>
      <c r="DK192" s="164"/>
      <c r="DL192" s="163"/>
      <c r="DM192" s="164"/>
      <c r="DN192" s="164"/>
      <c r="DO192" s="164"/>
      <c r="DP192" s="163"/>
      <c r="DQ192" s="164"/>
      <c r="DR192" s="164"/>
      <c r="DS192" s="164"/>
      <c r="DV192" s="63"/>
      <c r="DX192" s="63"/>
    </row>
    <row r="193" spans="1:128" ht="15" customHeight="1" hidden="1">
      <c r="A193" s="100" t="s">
        <v>99</v>
      </c>
      <c r="B193" s="186" t="s">
        <v>93</v>
      </c>
      <c r="C193" s="118"/>
      <c r="D193" s="118"/>
      <c r="E193" s="118"/>
      <c r="F193" s="119"/>
      <c r="G193" s="120"/>
      <c r="H193" s="118">
        <v>0</v>
      </c>
      <c r="I193" s="118">
        <v>0</v>
      </c>
      <c r="J193" s="119">
        <f>Annually!H202-SUM(G193:I193)</f>
        <v>0</v>
      </c>
      <c r="K193" s="184"/>
      <c r="L193" s="185">
        <v>0</v>
      </c>
      <c r="M193" s="185">
        <v>0</v>
      </c>
      <c r="N193" s="274">
        <f>Annually!I202-M193-L193-K193</f>
        <v>0</v>
      </c>
      <c r="O193" s="184"/>
      <c r="P193" s="185"/>
      <c r="Q193" s="185">
        <v>0</v>
      </c>
      <c r="R193" s="274">
        <f>-Q193-P193-O193+Annually!J202</f>
        <v>0</v>
      </c>
      <c r="S193" s="184">
        <v>0</v>
      </c>
      <c r="T193" s="185">
        <v>0</v>
      </c>
      <c r="U193" s="185">
        <v>0</v>
      </c>
      <c r="V193" s="185">
        <v>0</v>
      </c>
      <c r="W193" s="184">
        <v>0</v>
      </c>
      <c r="X193" s="185"/>
      <c r="Y193" s="185"/>
      <c r="Z193" s="185"/>
      <c r="AA193" s="184"/>
      <c r="AB193" s="185"/>
      <c r="AC193" s="185"/>
      <c r="AD193" s="185"/>
      <c r="AE193" s="184"/>
      <c r="AF193" s="185"/>
      <c r="AG193" s="185"/>
      <c r="AH193" s="185"/>
      <c r="AI193" s="468"/>
      <c r="AJ193" s="185"/>
      <c r="AK193" s="185"/>
      <c r="AL193" s="185"/>
      <c r="AM193" s="468"/>
      <c r="AN193" s="185">
        <v>0</v>
      </c>
      <c r="AO193" s="185">
        <v>0</v>
      </c>
      <c r="AP193" s="185"/>
      <c r="AQ193" s="468"/>
      <c r="AR193" s="185">
        <v>0</v>
      </c>
      <c r="AS193" s="185"/>
      <c r="AT193" s="185"/>
      <c r="AU193" s="468"/>
      <c r="AV193" s="185"/>
      <c r="AW193" s="185"/>
      <c r="AX193" s="274"/>
      <c r="AY193" s="590"/>
      <c r="AZ193" s="571"/>
      <c r="BA193" s="185"/>
      <c r="BB193" s="274"/>
      <c r="BC193" s="590"/>
      <c r="BD193" s="571"/>
      <c r="BE193" s="571"/>
      <c r="BF193" s="274"/>
      <c r="BG193" s="590"/>
      <c r="BH193" s="571"/>
      <c r="BI193" s="571"/>
      <c r="BJ193" s="571"/>
      <c r="BK193" s="519"/>
      <c r="BL193" s="158"/>
      <c r="BM193" s="158"/>
      <c r="BN193" s="158"/>
      <c r="BO193" s="159"/>
      <c r="BP193" s="160"/>
      <c r="BQ193" s="161">
        <v>0</v>
      </c>
      <c r="BR193" s="161">
        <v>0</v>
      </c>
      <c r="BS193" s="162">
        <f>Annually!AC202-SUM(Quarterly!BP193:BR193)</f>
        <v>0</v>
      </c>
      <c r="BT193" s="163"/>
      <c r="BU193" s="164">
        <v>0</v>
      </c>
      <c r="BV193" s="164">
        <v>0</v>
      </c>
      <c r="BW193" s="165">
        <f>Annually!AD202-Quarterly!BV193-Quarterly!BU193-Quarterly!BT193</f>
        <v>0</v>
      </c>
      <c r="BX193" s="163"/>
      <c r="BY193" s="164"/>
      <c r="BZ193" s="164">
        <v>0</v>
      </c>
      <c r="CA193" s="166">
        <f>-BZ193-BY193-BX193+Annually!AE202</f>
        <v>0</v>
      </c>
      <c r="CB193" s="163"/>
      <c r="CC193" s="164"/>
      <c r="CD193" s="164"/>
      <c r="CE193" s="164">
        <v>0</v>
      </c>
      <c r="CF193" s="163"/>
      <c r="CG193" s="164"/>
      <c r="CH193" s="164"/>
      <c r="CI193" s="164"/>
      <c r="CJ193" s="163"/>
      <c r="CK193" s="164"/>
      <c r="CL193" s="164"/>
      <c r="CM193" s="166"/>
      <c r="CN193" s="163"/>
      <c r="CO193" s="164"/>
      <c r="CP193" s="164"/>
      <c r="CQ193" s="164"/>
      <c r="CR193" s="483"/>
      <c r="CS193" s="164"/>
      <c r="CT193" s="164"/>
      <c r="CU193" s="164"/>
      <c r="CV193" s="163"/>
      <c r="CW193" s="164"/>
      <c r="CX193" s="164"/>
      <c r="CY193" s="164"/>
      <c r="CZ193" s="163"/>
      <c r="DA193" s="164"/>
      <c r="DB193" s="164"/>
      <c r="DC193" s="164"/>
      <c r="DD193" s="163"/>
      <c r="DE193" s="164"/>
      <c r="DF193" s="164"/>
      <c r="DG193" s="164"/>
      <c r="DH193" s="163"/>
      <c r="DI193" s="164"/>
      <c r="DJ193" s="164"/>
      <c r="DK193" s="164"/>
      <c r="DL193" s="163"/>
      <c r="DM193" s="164"/>
      <c r="DN193" s="164"/>
      <c r="DO193" s="164"/>
      <c r="DP193" s="163"/>
      <c r="DQ193" s="164"/>
      <c r="DR193" s="164"/>
      <c r="DS193" s="164"/>
      <c r="DV193" s="63"/>
      <c r="DX193" s="63"/>
    </row>
    <row r="194" spans="1:128" ht="30" customHeight="1" hidden="1">
      <c r="A194" s="117" t="s">
        <v>79</v>
      </c>
      <c r="B194" s="117" t="s">
        <v>80</v>
      </c>
      <c r="C194" s="118"/>
      <c r="D194" s="118"/>
      <c r="E194" s="118"/>
      <c r="F194" s="119"/>
      <c r="G194" s="120"/>
      <c r="H194" s="118">
        <v>0</v>
      </c>
      <c r="I194" s="118">
        <v>0</v>
      </c>
      <c r="J194" s="119">
        <f>Annually!H203-SUM(G194:I194)</f>
        <v>0</v>
      </c>
      <c r="K194" s="184"/>
      <c r="L194" s="185">
        <v>0</v>
      </c>
      <c r="M194" s="185">
        <v>0</v>
      </c>
      <c r="N194" s="274">
        <f>Annually!I203-M194-L194-K194</f>
        <v>0</v>
      </c>
      <c r="O194" s="184"/>
      <c r="P194" s="185"/>
      <c r="Q194" s="185">
        <v>0</v>
      </c>
      <c r="R194" s="274">
        <f>-Q194-P194-O194+Annually!J203</f>
        <v>0</v>
      </c>
      <c r="S194" s="184">
        <v>0</v>
      </c>
      <c r="T194" s="185">
        <v>0</v>
      </c>
      <c r="U194" s="185">
        <v>0</v>
      </c>
      <c r="V194" s="185">
        <v>0</v>
      </c>
      <c r="W194" s="184">
        <v>0</v>
      </c>
      <c r="X194" s="185"/>
      <c r="Y194" s="185"/>
      <c r="Z194" s="185"/>
      <c r="AA194" s="184"/>
      <c r="AB194" s="185"/>
      <c r="AC194" s="185"/>
      <c r="AD194" s="185"/>
      <c r="AE194" s="184"/>
      <c r="AF194" s="185"/>
      <c r="AG194" s="185"/>
      <c r="AH194" s="185"/>
      <c r="AI194" s="468"/>
      <c r="AJ194" s="185"/>
      <c r="AK194" s="185"/>
      <c r="AL194" s="185"/>
      <c r="AM194" s="468"/>
      <c r="AN194" s="185">
        <v>0</v>
      </c>
      <c r="AO194" s="185">
        <v>0</v>
      </c>
      <c r="AP194" s="185"/>
      <c r="AQ194" s="468"/>
      <c r="AR194" s="185">
        <v>0</v>
      </c>
      <c r="AS194" s="185"/>
      <c r="AT194" s="185"/>
      <c r="AU194" s="468"/>
      <c r="AV194" s="185"/>
      <c r="AW194" s="185"/>
      <c r="AX194" s="274"/>
      <c r="AY194" s="590"/>
      <c r="AZ194" s="571"/>
      <c r="BA194" s="185"/>
      <c r="BB194" s="274"/>
      <c r="BC194" s="590"/>
      <c r="BD194" s="571"/>
      <c r="BE194" s="571"/>
      <c r="BF194" s="274"/>
      <c r="BG194" s="590"/>
      <c r="BH194" s="571"/>
      <c r="BI194" s="571"/>
      <c r="BJ194" s="571"/>
      <c r="BK194" s="519"/>
      <c r="BL194" s="158"/>
      <c r="BM194" s="158"/>
      <c r="BN194" s="158"/>
      <c r="BO194" s="159"/>
      <c r="BP194" s="160"/>
      <c r="BQ194" s="161">
        <v>0</v>
      </c>
      <c r="BR194" s="161">
        <v>0</v>
      </c>
      <c r="BS194" s="162">
        <f>Annually!AC203-SUM(Quarterly!BP194:BR194)</f>
        <v>0</v>
      </c>
      <c r="BT194" s="163"/>
      <c r="BU194" s="164">
        <v>0</v>
      </c>
      <c r="BV194" s="164">
        <v>0</v>
      </c>
      <c r="BW194" s="165">
        <f>Annually!AD203-Quarterly!BV194-Quarterly!BU194-Quarterly!BT194</f>
        <v>0</v>
      </c>
      <c r="BX194" s="163"/>
      <c r="BY194" s="164"/>
      <c r="BZ194" s="164">
        <v>0</v>
      </c>
      <c r="CA194" s="166">
        <f>-BZ194-BY194-BX194+Annually!AE203</f>
        <v>0</v>
      </c>
      <c r="CB194" s="163"/>
      <c r="CC194" s="164"/>
      <c r="CD194" s="164"/>
      <c r="CE194" s="164">
        <v>0</v>
      </c>
      <c r="CF194" s="163"/>
      <c r="CG194" s="164"/>
      <c r="CH194" s="164"/>
      <c r="CI194" s="164"/>
      <c r="CJ194" s="163"/>
      <c r="CK194" s="164"/>
      <c r="CL194" s="164"/>
      <c r="CM194" s="166"/>
      <c r="CN194" s="163"/>
      <c r="CO194" s="164"/>
      <c r="CP194" s="164"/>
      <c r="CQ194" s="164"/>
      <c r="CR194" s="483"/>
      <c r="CS194" s="164"/>
      <c r="CT194" s="164"/>
      <c r="CU194" s="164"/>
      <c r="CV194" s="163"/>
      <c r="CW194" s="164"/>
      <c r="CX194" s="164"/>
      <c r="CY194" s="164"/>
      <c r="CZ194" s="163"/>
      <c r="DA194" s="164"/>
      <c r="DB194" s="164"/>
      <c r="DC194" s="164"/>
      <c r="DD194" s="163"/>
      <c r="DE194" s="164"/>
      <c r="DF194" s="164"/>
      <c r="DG194" s="164"/>
      <c r="DH194" s="163"/>
      <c r="DI194" s="164"/>
      <c r="DJ194" s="164"/>
      <c r="DK194" s="164"/>
      <c r="DL194" s="163"/>
      <c r="DM194" s="164"/>
      <c r="DN194" s="164"/>
      <c r="DO194" s="164"/>
      <c r="DP194" s="163"/>
      <c r="DQ194" s="164"/>
      <c r="DR194" s="164"/>
      <c r="DS194" s="164"/>
      <c r="DV194" s="63"/>
      <c r="DX194" s="63"/>
    </row>
    <row r="195" spans="1:128" ht="15" customHeight="1" hidden="1">
      <c r="A195" s="100" t="s">
        <v>99</v>
      </c>
      <c r="B195" s="186" t="s">
        <v>93</v>
      </c>
      <c r="C195" s="118"/>
      <c r="D195" s="118"/>
      <c r="E195" s="118"/>
      <c r="F195" s="119"/>
      <c r="G195" s="120"/>
      <c r="H195" s="118">
        <v>0</v>
      </c>
      <c r="I195" s="118">
        <v>0</v>
      </c>
      <c r="J195" s="119">
        <f>Annually!H204-SUM(G195:I195)</f>
        <v>0</v>
      </c>
      <c r="K195" s="184"/>
      <c r="L195" s="185">
        <v>0</v>
      </c>
      <c r="M195" s="185">
        <v>0</v>
      </c>
      <c r="N195" s="274">
        <f>Annually!I204-M195-L195-K195</f>
        <v>0</v>
      </c>
      <c r="O195" s="184"/>
      <c r="P195" s="185"/>
      <c r="Q195" s="185">
        <v>0</v>
      </c>
      <c r="R195" s="274">
        <f>-Q195-P195-O195+Annually!J204</f>
        <v>0</v>
      </c>
      <c r="S195" s="184">
        <v>0</v>
      </c>
      <c r="T195" s="185">
        <v>0</v>
      </c>
      <c r="U195" s="185">
        <v>0</v>
      </c>
      <c r="V195" s="185">
        <v>0</v>
      </c>
      <c r="W195" s="184">
        <v>0</v>
      </c>
      <c r="X195" s="185"/>
      <c r="Y195" s="185"/>
      <c r="Z195" s="185"/>
      <c r="AA195" s="184"/>
      <c r="AB195" s="185"/>
      <c r="AC195" s="185"/>
      <c r="AD195" s="185"/>
      <c r="AE195" s="184"/>
      <c r="AF195" s="185"/>
      <c r="AG195" s="185"/>
      <c r="AH195" s="185"/>
      <c r="AI195" s="468"/>
      <c r="AJ195" s="185"/>
      <c r="AK195" s="185"/>
      <c r="AL195" s="185"/>
      <c r="AM195" s="468"/>
      <c r="AN195" s="185">
        <v>0</v>
      </c>
      <c r="AO195" s="185">
        <v>0</v>
      </c>
      <c r="AP195" s="185"/>
      <c r="AQ195" s="468"/>
      <c r="AR195" s="185">
        <v>0</v>
      </c>
      <c r="AS195" s="185"/>
      <c r="AT195" s="185"/>
      <c r="AU195" s="468"/>
      <c r="AV195" s="185"/>
      <c r="AW195" s="185"/>
      <c r="AX195" s="274"/>
      <c r="AY195" s="590"/>
      <c r="AZ195" s="571"/>
      <c r="BA195" s="185"/>
      <c r="BB195" s="274"/>
      <c r="BC195" s="590"/>
      <c r="BD195" s="571"/>
      <c r="BE195" s="571"/>
      <c r="BF195" s="274"/>
      <c r="BG195" s="590"/>
      <c r="BH195" s="571"/>
      <c r="BI195" s="571"/>
      <c r="BJ195" s="571"/>
      <c r="BK195" s="519"/>
      <c r="BL195" s="158"/>
      <c r="BM195" s="158"/>
      <c r="BN195" s="158"/>
      <c r="BO195" s="159"/>
      <c r="BP195" s="160"/>
      <c r="BQ195" s="161">
        <v>0</v>
      </c>
      <c r="BR195" s="161">
        <v>0</v>
      </c>
      <c r="BS195" s="162">
        <f>Annually!AC204-SUM(Quarterly!BP195:BR195)</f>
        <v>0</v>
      </c>
      <c r="BT195" s="163"/>
      <c r="BU195" s="164">
        <v>0</v>
      </c>
      <c r="BV195" s="164">
        <v>0</v>
      </c>
      <c r="BW195" s="165">
        <f>Annually!AD204-Quarterly!BV195-Quarterly!BU195-Quarterly!BT195</f>
        <v>0</v>
      </c>
      <c r="BX195" s="163"/>
      <c r="BY195" s="164"/>
      <c r="BZ195" s="164">
        <v>0</v>
      </c>
      <c r="CA195" s="166">
        <f>-BZ195-BY195-BX195+Annually!AE204</f>
        <v>0</v>
      </c>
      <c r="CB195" s="163"/>
      <c r="CC195" s="164"/>
      <c r="CD195" s="164"/>
      <c r="CE195" s="164">
        <v>0</v>
      </c>
      <c r="CF195" s="163"/>
      <c r="CG195" s="164"/>
      <c r="CH195" s="164"/>
      <c r="CI195" s="164"/>
      <c r="CJ195" s="163"/>
      <c r="CK195" s="164"/>
      <c r="CL195" s="164"/>
      <c r="CM195" s="166"/>
      <c r="CN195" s="163"/>
      <c r="CO195" s="164"/>
      <c r="CP195" s="164"/>
      <c r="CQ195" s="164"/>
      <c r="CR195" s="483"/>
      <c r="CS195" s="164"/>
      <c r="CT195" s="164"/>
      <c r="CU195" s="164"/>
      <c r="CV195" s="163"/>
      <c r="CW195" s="164"/>
      <c r="CX195" s="164"/>
      <c r="CY195" s="164"/>
      <c r="CZ195" s="163"/>
      <c r="DA195" s="164"/>
      <c r="DB195" s="164"/>
      <c r="DC195" s="164"/>
      <c r="DD195" s="163"/>
      <c r="DE195" s="164"/>
      <c r="DF195" s="164"/>
      <c r="DG195" s="164"/>
      <c r="DH195" s="163"/>
      <c r="DI195" s="164"/>
      <c r="DJ195" s="164"/>
      <c r="DK195" s="164"/>
      <c r="DL195" s="163"/>
      <c r="DM195" s="164"/>
      <c r="DN195" s="164"/>
      <c r="DO195" s="164"/>
      <c r="DP195" s="163"/>
      <c r="DQ195" s="164"/>
      <c r="DR195" s="164"/>
      <c r="DS195" s="164"/>
      <c r="DV195" s="63"/>
      <c r="DX195" s="63"/>
    </row>
    <row r="196" spans="1:128" ht="30.75">
      <c r="A196" s="70" t="s">
        <v>127</v>
      </c>
      <c r="B196" s="70" t="s">
        <v>130</v>
      </c>
      <c r="C196" s="71">
        <v>39.6</v>
      </c>
      <c r="D196" s="71">
        <v>56.699999999999996</v>
      </c>
      <c r="E196" s="71">
        <v>61.07110200000001</v>
      </c>
      <c r="F196" s="72">
        <v>59.63724400000001</v>
      </c>
      <c r="G196" s="73">
        <v>55.5</v>
      </c>
      <c r="H196" s="71">
        <v>58.099999999999994</v>
      </c>
      <c r="I196" s="71">
        <v>40.39999999999998</v>
      </c>
      <c r="J196" s="72">
        <f>SUM(J197:J200)</f>
        <v>21.9</v>
      </c>
      <c r="K196" s="75">
        <f aca="true" t="shared" si="592" ref="K196:V196">K197+K198+K199+K200+K202</f>
        <v>11.12088</v>
      </c>
      <c r="L196" s="75">
        <f t="shared" si="592"/>
        <v>47.67912</v>
      </c>
      <c r="M196" s="75">
        <f t="shared" si="592"/>
        <v>25.400000000000002</v>
      </c>
      <c r="N196" s="272">
        <f t="shared" si="592"/>
        <v>10.200000000000003</v>
      </c>
      <c r="O196" s="74">
        <f t="shared" si="592"/>
        <v>9.17</v>
      </c>
      <c r="P196" s="75">
        <f t="shared" si="592"/>
        <v>24.2012</v>
      </c>
      <c r="Q196" s="75">
        <f t="shared" si="592"/>
        <v>9.028800000000002</v>
      </c>
      <c r="R196" s="272">
        <f t="shared" si="592"/>
        <v>10.179999999999998</v>
      </c>
      <c r="S196" s="74">
        <f t="shared" si="592"/>
        <v>8.5</v>
      </c>
      <c r="T196" s="75">
        <f t="shared" si="592"/>
        <v>11.195</v>
      </c>
      <c r="U196" s="75">
        <f t="shared" si="592"/>
        <v>10.405000000000001</v>
      </c>
      <c r="V196" s="75">
        <f t="shared" si="592"/>
        <v>10.85784</v>
      </c>
      <c r="W196" s="74">
        <f aca="true" t="shared" si="593" ref="W196:AC196">W197+W198+W199+W200+W202</f>
        <v>8.025216</v>
      </c>
      <c r="X196" s="75">
        <f t="shared" si="593"/>
        <v>22.647936</v>
      </c>
      <c r="Y196" s="75">
        <f t="shared" si="593"/>
        <v>15.326848</v>
      </c>
      <c r="Z196" s="75">
        <f t="shared" si="593"/>
        <v>8</v>
      </c>
      <c r="AA196" s="74">
        <f t="shared" si="593"/>
        <v>9.01062</v>
      </c>
      <c r="AB196" s="75">
        <f t="shared" si="593"/>
        <v>18.778724</v>
      </c>
      <c r="AC196" s="75">
        <f t="shared" si="593"/>
        <v>16.834356</v>
      </c>
      <c r="AD196" s="75">
        <f aca="true" t="shared" si="594" ref="AD196:AI196">AD197+AD198+AD199+AD200+AD202</f>
        <v>23.476300000000002</v>
      </c>
      <c r="AE196" s="74">
        <f t="shared" si="594"/>
        <v>18.597026</v>
      </c>
      <c r="AF196" s="75">
        <f t="shared" si="594"/>
        <v>22.526712000000003</v>
      </c>
      <c r="AG196" s="75">
        <f t="shared" si="594"/>
        <v>43.076262</v>
      </c>
      <c r="AH196" s="75">
        <f t="shared" si="594"/>
        <v>33.74297599999999</v>
      </c>
      <c r="AI196" s="376">
        <f t="shared" si="594"/>
        <v>32.516031999999996</v>
      </c>
      <c r="AJ196" s="75">
        <f aca="true" t="shared" si="595" ref="AJ196:AP196">AJ197+AJ198+AJ199+AJ200+AJ202</f>
        <v>41.483968000000004</v>
      </c>
      <c r="AK196" s="75">
        <f t="shared" si="595"/>
        <v>36.114271999999985</v>
      </c>
      <c r="AL196" s="75">
        <f t="shared" si="595"/>
        <v>23.587738000000012</v>
      </c>
      <c r="AM196" s="376">
        <f t="shared" si="595"/>
        <v>27.999104000000003</v>
      </c>
      <c r="AN196" s="75">
        <f t="shared" si="595"/>
        <v>34.155342</v>
      </c>
      <c r="AO196" s="75">
        <f t="shared" si="595"/>
        <v>23.958176</v>
      </c>
      <c r="AP196" s="75">
        <f t="shared" si="595"/>
        <v>13.082019999999998</v>
      </c>
      <c r="AQ196" s="376">
        <f aca="true" t="shared" si="596" ref="AQ196:AY196">AQ197+AQ198+AQ199+AQ200+AQ202</f>
        <v>11.87316</v>
      </c>
      <c r="AR196" s="75">
        <f t="shared" si="596"/>
        <v>32.363028</v>
      </c>
      <c r="AS196" s="75">
        <f t="shared" si="596"/>
        <v>28.609988</v>
      </c>
      <c r="AT196" s="75">
        <f t="shared" si="596"/>
        <v>13.219512000000003</v>
      </c>
      <c r="AU196" s="376">
        <f t="shared" si="596"/>
        <v>13.004290000000001</v>
      </c>
      <c r="AV196" s="75">
        <f t="shared" si="596"/>
        <v>35.589079999999996</v>
      </c>
      <c r="AW196" s="75">
        <f t="shared" si="596"/>
        <v>37.290915999999996</v>
      </c>
      <c r="AX196" s="272">
        <f>AX197+AX198+AX199+AX200+AX202</f>
        <v>49.45460600000001</v>
      </c>
      <c r="AY196" s="74">
        <f t="shared" si="596"/>
        <v>26.361416</v>
      </c>
      <c r="AZ196" s="75">
        <f aca="true" t="shared" si="597" ref="AZ196:BE196">AZ197+AZ198+AZ199+AZ200+AZ202</f>
        <v>28.022108</v>
      </c>
      <c r="BA196" s="75">
        <f t="shared" si="597"/>
        <v>25.494036</v>
      </c>
      <c r="BB196" s="272">
        <f t="shared" si="597"/>
        <v>36.10402199999999</v>
      </c>
      <c r="BC196" s="74">
        <f t="shared" si="597"/>
        <v>37.896168</v>
      </c>
      <c r="BD196" s="75">
        <f t="shared" si="597"/>
        <v>27.598208</v>
      </c>
      <c r="BE196" s="75">
        <f t="shared" si="597"/>
        <v>37.675118</v>
      </c>
      <c r="BF196" s="272">
        <f>BF197+BF198+BF199+BF200+BF202</f>
        <v>27.910248999999993</v>
      </c>
      <c r="BG196" s="74">
        <f>BG197+BG198+BG199+BG200+BG202</f>
        <v>21.922544</v>
      </c>
      <c r="BH196" s="75">
        <f>BH197+BH198+BH199+BH200+BH202</f>
        <v>27.60566</v>
      </c>
      <c r="BI196" s="75">
        <f>BI197+BI198+BI199+BI200+BI202</f>
        <v>41.265904000000006</v>
      </c>
      <c r="BJ196" s="75">
        <f>BJ197+BJ198+BJ199+BJ200+BJ202</f>
        <v>35.17405599999999</v>
      </c>
      <c r="BK196" s="519"/>
      <c r="BL196" s="77">
        <v>14.885</v>
      </c>
      <c r="BM196" s="77">
        <v>21.195</v>
      </c>
      <c r="BN196" s="77">
        <v>64.279152</v>
      </c>
      <c r="BO196" s="78">
        <v>7.12942000000001</v>
      </c>
      <c r="BP196" s="79">
        <v>5.6</v>
      </c>
      <c r="BQ196" s="80">
        <v>9.89016</v>
      </c>
      <c r="BR196" s="80">
        <v>22.60983999999999</v>
      </c>
      <c r="BS196" s="81">
        <f>Annually!AC205-SUM(Quarterly!BP196:BR196)</f>
        <v>21.60000000000001</v>
      </c>
      <c r="BT196" s="82">
        <f>BT198+BT199</f>
        <v>11.42088</v>
      </c>
      <c r="BU196" s="83">
        <f>BU198+BU199+BU197</f>
        <v>47.57911999999999</v>
      </c>
      <c r="BV196" s="83">
        <v>25.50000000000001</v>
      </c>
      <c r="BW196" s="84">
        <f>Annually!AD205-Quarterly!BV196-Quarterly!BU196-Quarterly!BT196</f>
        <v>9.999999999999996</v>
      </c>
      <c r="BX196" s="83">
        <f aca="true" t="shared" si="598" ref="BX196:CE196">BX197+BX198+BX199</f>
        <v>9.22</v>
      </c>
      <c r="BY196" s="83">
        <f t="shared" si="598"/>
        <v>24.252551999999998</v>
      </c>
      <c r="BZ196" s="83">
        <f t="shared" si="598"/>
        <v>9.027448000000001</v>
      </c>
      <c r="CA196" s="85">
        <f t="shared" si="598"/>
        <v>10.2</v>
      </c>
      <c r="CB196" s="82">
        <f t="shared" si="598"/>
        <v>8.6</v>
      </c>
      <c r="CC196" s="83">
        <f t="shared" si="598"/>
        <v>11.241999999999999</v>
      </c>
      <c r="CD196" s="83">
        <f t="shared" si="598"/>
        <v>10.258000000000003</v>
      </c>
      <c r="CE196" s="83">
        <f t="shared" si="598"/>
        <v>10.599999999999993</v>
      </c>
      <c r="CF196" s="82">
        <f aca="true" t="shared" si="599" ref="CF196:CN196">CF197+CF198+CF199</f>
        <v>8.226904000000001</v>
      </c>
      <c r="CG196" s="83">
        <f t="shared" si="599"/>
        <v>22.623406000000003</v>
      </c>
      <c r="CH196" s="83">
        <f t="shared" si="599"/>
        <v>15.54969</v>
      </c>
      <c r="CI196" s="83">
        <f t="shared" si="599"/>
        <v>7.500000000000001</v>
      </c>
      <c r="CJ196" s="82">
        <f t="shared" si="599"/>
        <v>9.29524</v>
      </c>
      <c r="CK196" s="86">
        <f t="shared" si="599"/>
        <v>18.925455999999997</v>
      </c>
      <c r="CL196" s="86">
        <f t="shared" si="599"/>
        <v>16.679304000000002</v>
      </c>
      <c r="CM196" s="408">
        <f>CM197+CM198+CM199</f>
        <v>23.5</v>
      </c>
      <c r="CN196" s="82">
        <f t="shared" si="599"/>
        <v>18.49159</v>
      </c>
      <c r="CO196" s="86">
        <f aca="true" t="shared" si="600" ref="CO196:CT196">CO197+CO198+CO199</f>
        <v>22.717404000000005</v>
      </c>
      <c r="CP196" s="86">
        <f t="shared" si="600"/>
        <v>42.691005999999994</v>
      </c>
      <c r="CQ196" s="86">
        <f t="shared" si="600"/>
        <v>33.66844999999999</v>
      </c>
      <c r="CR196" s="481">
        <f t="shared" si="600"/>
        <v>32.726864</v>
      </c>
      <c r="CS196" s="83">
        <f t="shared" si="600"/>
        <v>40.99212</v>
      </c>
      <c r="CT196" s="83">
        <f t="shared" si="600"/>
        <v>36.745183999999995</v>
      </c>
      <c r="CU196" s="86">
        <f aca="true" t="shared" si="601" ref="CU196:CZ196">CU197+CU198+CU199</f>
        <v>23.232552000000013</v>
      </c>
      <c r="CV196" s="82">
        <f t="shared" si="601"/>
        <v>28.275080000000003</v>
      </c>
      <c r="CW196" s="83">
        <f t="shared" si="601"/>
        <v>34.29890999999999</v>
      </c>
      <c r="CX196" s="83">
        <f t="shared" si="601"/>
        <v>23.81862</v>
      </c>
      <c r="CY196" s="83">
        <f t="shared" si="601"/>
        <v>12.798784000000008</v>
      </c>
      <c r="CZ196" s="82">
        <f t="shared" si="601"/>
        <v>12.296140000000001</v>
      </c>
      <c r="DA196" s="83">
        <f aca="true" t="shared" si="602" ref="DA196:DF196">DA197+DA198+DA199</f>
        <v>32.314444</v>
      </c>
      <c r="DB196" s="83">
        <f t="shared" si="602"/>
        <v>28.292555999999998</v>
      </c>
      <c r="DC196" s="83">
        <f t="shared" si="602"/>
        <v>13.421323999999998</v>
      </c>
      <c r="DD196" s="82">
        <f t="shared" si="602"/>
        <v>13.717849999999999</v>
      </c>
      <c r="DE196" s="83">
        <f t="shared" si="602"/>
        <v>35.71158</v>
      </c>
      <c r="DF196" s="83">
        <f t="shared" si="602"/>
        <v>37.17996</v>
      </c>
      <c r="DG196" s="85">
        <f aca="true" t="shared" si="603" ref="DG196:DL196">DG197+DG198+DG199</f>
        <v>49.24351000000001</v>
      </c>
      <c r="DH196" s="82">
        <f t="shared" si="603"/>
        <v>26.58712</v>
      </c>
      <c r="DI196" s="83">
        <f t="shared" si="603"/>
        <v>27.33054</v>
      </c>
      <c r="DJ196" s="83">
        <f t="shared" si="603"/>
        <v>24.87592</v>
      </c>
      <c r="DK196" s="83">
        <f t="shared" si="603"/>
        <v>37.436840000000004</v>
      </c>
      <c r="DL196" s="82">
        <f t="shared" si="603"/>
        <v>38.04808</v>
      </c>
      <c r="DM196" s="83">
        <f aca="true" t="shared" si="604" ref="DM196:DR196">DM197+DM198+DM199</f>
        <v>27.489839999999994</v>
      </c>
      <c r="DN196" s="83">
        <f t="shared" si="604"/>
        <v>37.85495</v>
      </c>
      <c r="DO196" s="83">
        <f t="shared" si="604"/>
        <v>27.519841</v>
      </c>
      <c r="DP196" s="82">
        <f t="shared" si="604"/>
        <v>22.22128</v>
      </c>
      <c r="DQ196" s="83">
        <f t="shared" si="604"/>
        <v>26.854619999999997</v>
      </c>
      <c r="DR196" s="83">
        <f t="shared" si="604"/>
        <v>42.00656</v>
      </c>
      <c r="DS196" s="83">
        <f>DS197+DS198+DS199</f>
        <v>34.806960000000004</v>
      </c>
      <c r="DV196" s="63"/>
      <c r="DX196" s="63"/>
    </row>
    <row r="197" spans="1:128" ht="15" customHeight="1">
      <c r="A197" s="130" t="s">
        <v>131</v>
      </c>
      <c r="B197" s="117" t="s">
        <v>82</v>
      </c>
      <c r="C197" s="118">
        <v>0</v>
      </c>
      <c r="D197" s="118">
        <v>0</v>
      </c>
      <c r="E197" s="118">
        <v>0</v>
      </c>
      <c r="F197" s="119">
        <v>0</v>
      </c>
      <c r="G197" s="120">
        <v>0</v>
      </c>
      <c r="H197" s="118">
        <v>0.7</v>
      </c>
      <c r="I197" s="118">
        <v>0</v>
      </c>
      <c r="J197" s="119">
        <f>Annually!H206-SUM(G197:I197)</f>
        <v>0</v>
      </c>
      <c r="K197" s="184">
        <v>0</v>
      </c>
      <c r="L197" s="185">
        <v>6.8</v>
      </c>
      <c r="M197" s="185">
        <v>0</v>
      </c>
      <c r="N197" s="183">
        <f>Annually!I206-M197-L197-K197</f>
        <v>0</v>
      </c>
      <c r="O197" s="184">
        <v>0.2</v>
      </c>
      <c r="P197" s="185">
        <f>6.4216-O197</f>
        <v>6.2216</v>
      </c>
      <c r="Q197" s="185">
        <v>2.9784000000000006</v>
      </c>
      <c r="R197" s="185">
        <f>-Q197-P197-O197+Annually!J206</f>
        <v>-0.019999999999997797</v>
      </c>
      <c r="S197" s="184">
        <v>0</v>
      </c>
      <c r="T197" s="185">
        <v>0.589</v>
      </c>
      <c r="U197" s="185">
        <v>0.611</v>
      </c>
      <c r="V197" s="185">
        <v>0.7374</v>
      </c>
      <c r="W197" s="184">
        <v>1.3274</v>
      </c>
      <c r="X197" s="185">
        <v>4.3161000000000005</v>
      </c>
      <c r="Y197" s="185">
        <v>7.6565</v>
      </c>
      <c r="Z197" s="185">
        <f>Annually!L206-Y197-X197-W197</f>
        <v>0.1999999999999993</v>
      </c>
      <c r="AA197" s="184">
        <v>2.461</v>
      </c>
      <c r="AB197" s="185">
        <v>3.8308000000000004</v>
      </c>
      <c r="AC197" s="185">
        <v>3.1082000000000005</v>
      </c>
      <c r="AD197" s="185">
        <f>Annually!M206-AC197-AB197-AA197</f>
        <v>2.0000000000000004</v>
      </c>
      <c r="AE197" s="184">
        <v>1.7000000000000002</v>
      </c>
      <c r="AF197" s="185">
        <v>2.2178</v>
      </c>
      <c r="AG197" s="257">
        <v>1.0821999999999998</v>
      </c>
      <c r="AH197" s="185">
        <f>Annually!N206-AG197-AF197-AE197</f>
        <v>0.0999999999999992</v>
      </c>
      <c r="AI197" s="468">
        <v>0.408</v>
      </c>
      <c r="AJ197" s="185">
        <v>0.5920000000000001</v>
      </c>
      <c r="AK197" s="185">
        <v>1.121</v>
      </c>
      <c r="AL197" s="185">
        <f>Annually!O206-AK197-AJ197-AI197</f>
        <v>0.068</v>
      </c>
      <c r="AM197" s="468">
        <v>8.766</v>
      </c>
      <c r="AN197" s="185">
        <v>3.5299999999999994</v>
      </c>
      <c r="AO197" s="185">
        <v>0</v>
      </c>
      <c r="AP197" s="181">
        <f>Annually!P206-AM197-AN197-AO197</f>
        <v>0.16100000000000136</v>
      </c>
      <c r="AQ197" s="468">
        <v>0.343</v>
      </c>
      <c r="AR197" s="185">
        <v>0.558</v>
      </c>
      <c r="AS197" s="185">
        <v>1.6626000000000003</v>
      </c>
      <c r="AT197" s="181">
        <f>Annually!Q206-AQ197-AR197-AS197</f>
        <v>5.0222</v>
      </c>
      <c r="AU197" s="468">
        <v>4.3188</v>
      </c>
      <c r="AV197" s="185">
        <v>4.4074</v>
      </c>
      <c r="AW197" s="252">
        <v>3.4170999999999996</v>
      </c>
      <c r="AX197" s="274">
        <f>Annually!R206-AU197-AV197-AW197</f>
        <v>7.1685</v>
      </c>
      <c r="AY197" s="590">
        <v>9.265</v>
      </c>
      <c r="AZ197" s="571">
        <v>8.847900000000001</v>
      </c>
      <c r="BA197" s="252">
        <v>8.1289</v>
      </c>
      <c r="BB197" s="274">
        <f>Annually!S206-AY197-AZ197-BA197</f>
        <v>9.761299999999993</v>
      </c>
      <c r="BC197" s="590">
        <v>7.8587</v>
      </c>
      <c r="BD197" s="571">
        <v>2.9171000000000005</v>
      </c>
      <c r="BE197" s="571">
        <v>10.0381</v>
      </c>
      <c r="BF197" s="274">
        <f>Annually!T206-BC197-BD197-BE197</f>
        <v>5.480999999999998</v>
      </c>
      <c r="BG197" s="590">
        <v>5.7733</v>
      </c>
      <c r="BH197" s="571">
        <v>9.0871</v>
      </c>
      <c r="BI197" s="571">
        <v>5.646300000000003</v>
      </c>
      <c r="BJ197" s="274">
        <f>Annually!U206-BG197-BH197-BI197</f>
        <v>5.862499999999998</v>
      </c>
      <c r="BK197" s="519"/>
      <c r="BL197" s="158">
        <v>0</v>
      </c>
      <c r="BM197" s="158">
        <v>0</v>
      </c>
      <c r="BN197" s="158">
        <v>0</v>
      </c>
      <c r="BO197" s="159">
        <v>0</v>
      </c>
      <c r="BP197" s="160">
        <v>0</v>
      </c>
      <c r="BQ197" s="161">
        <v>0.7</v>
      </c>
      <c r="BR197" s="161">
        <v>0</v>
      </c>
      <c r="BS197" s="162">
        <f>Annually!AC206-SUM(Quarterly!BP197:BR197)</f>
        <v>0</v>
      </c>
      <c r="BT197" s="163">
        <v>0</v>
      </c>
      <c r="BU197" s="164">
        <v>6.8</v>
      </c>
      <c r="BV197" s="164">
        <v>0</v>
      </c>
      <c r="BW197" s="165">
        <f>Annually!AD206-Quarterly!BV197-Quarterly!BU197-Quarterly!BT197</f>
        <v>0</v>
      </c>
      <c r="BX197" s="163">
        <v>0.2</v>
      </c>
      <c r="BY197" s="164">
        <v>6.2216</v>
      </c>
      <c r="BZ197" s="164">
        <v>2.9784000000000006</v>
      </c>
      <c r="CA197" s="166">
        <f>-BZ197-BY197-BX197+Annually!AE206</f>
        <v>0</v>
      </c>
      <c r="CB197" s="163">
        <v>0</v>
      </c>
      <c r="CC197" s="164">
        <v>0.6</v>
      </c>
      <c r="CD197" s="164">
        <v>0.6</v>
      </c>
      <c r="CE197" s="164">
        <v>0.7</v>
      </c>
      <c r="CF197" s="163">
        <v>1.3274</v>
      </c>
      <c r="CG197" s="164">
        <v>4.3161000000000005</v>
      </c>
      <c r="CH197" s="164">
        <v>7.6565</v>
      </c>
      <c r="CI197" s="164">
        <f>Annually!AG206-Quarterly!CH197-Quarterly!CG197-Quarterly!CF197</f>
        <v>0.1999999999999993</v>
      </c>
      <c r="CJ197" s="163">
        <v>2.461</v>
      </c>
      <c r="CK197" s="164">
        <v>3.8308000000000004</v>
      </c>
      <c r="CL197" s="164">
        <v>3.1082000000000005</v>
      </c>
      <c r="CM197" s="166">
        <f>Annually!AH206-CL197-CK197-CJ197</f>
        <v>2.0000000000000004</v>
      </c>
      <c r="CN197" s="163">
        <v>1.7</v>
      </c>
      <c r="CO197" s="164">
        <v>2.2178000000000004</v>
      </c>
      <c r="CP197" s="121">
        <v>1.0821999999999996</v>
      </c>
      <c r="CQ197" s="164">
        <f>Annually!AI206-CP197-CO197-CN197</f>
        <v>0.09999999999999987</v>
      </c>
      <c r="CR197" s="483">
        <v>0.408</v>
      </c>
      <c r="CS197" s="164">
        <v>0.14900000000000008</v>
      </c>
      <c r="CT197" s="164">
        <v>1.564</v>
      </c>
      <c r="CU197" s="164">
        <f>Annually!AJ206-CT197-CS197-CR197</f>
        <v>0.06799999999999995</v>
      </c>
      <c r="CV197" s="163">
        <v>8.766</v>
      </c>
      <c r="CW197" s="164">
        <v>3.5299999999999994</v>
      </c>
      <c r="CX197" s="164">
        <v>0</v>
      </c>
      <c r="CY197" s="164">
        <f>Annually!AK206-CX197-CW197-CV197</f>
        <v>0.16100000000000136</v>
      </c>
      <c r="CZ197" s="163">
        <v>0.343</v>
      </c>
      <c r="DA197" s="121">
        <v>0.558</v>
      </c>
      <c r="DB197" s="121">
        <v>1.6626000000000003</v>
      </c>
      <c r="DC197" s="164">
        <f>Annually!AL206-DB197-DA197-CZ197</f>
        <v>5.0222</v>
      </c>
      <c r="DD197" s="163">
        <v>5.018599999999999</v>
      </c>
      <c r="DE197" s="121">
        <v>4.407399999999999</v>
      </c>
      <c r="DF197" s="121">
        <v>3.4171000000000014</v>
      </c>
      <c r="DG197" s="164">
        <f>Annually!AM206-DF197-DE197-DD197</f>
        <v>7.168500000000002</v>
      </c>
      <c r="DH197" s="163">
        <v>9.265</v>
      </c>
      <c r="DI197" s="121">
        <v>8.0817</v>
      </c>
      <c r="DJ197" s="121">
        <v>7.8548</v>
      </c>
      <c r="DK197" s="164">
        <f>Annually!AN206-DJ197-DI197-DH197</f>
        <v>10.939599999999999</v>
      </c>
      <c r="DL197" s="163">
        <v>7.8587</v>
      </c>
      <c r="DM197" s="121">
        <v>2.7831</v>
      </c>
      <c r="DN197" s="121">
        <v>10.1081</v>
      </c>
      <c r="DO197" s="164">
        <f>Annually!AO206-DN197-DM197-DL197</f>
        <v>5.480999999999997</v>
      </c>
      <c r="DP197" s="163">
        <v>5.773300000000001</v>
      </c>
      <c r="DQ197" s="121">
        <v>8.392299999999999</v>
      </c>
      <c r="DR197" s="121">
        <v>6.341099999999999</v>
      </c>
      <c r="DS197" s="164">
        <f>Annually!AP206-DR197-DQ197-DP197</f>
        <v>5.8625000000000025</v>
      </c>
      <c r="DV197" s="63"/>
      <c r="DX197" s="63"/>
    </row>
    <row r="198" spans="1:128" ht="15.75">
      <c r="A198" s="116" t="s">
        <v>83</v>
      </c>
      <c r="B198" s="117" t="s">
        <v>19</v>
      </c>
      <c r="C198" s="118">
        <v>35.6</v>
      </c>
      <c r="D198" s="118">
        <v>49.800000000000004</v>
      </c>
      <c r="E198" s="118">
        <v>52.063199999999995</v>
      </c>
      <c r="F198" s="119">
        <v>52.589200000000005</v>
      </c>
      <c r="G198" s="120"/>
      <c r="H198" s="118"/>
      <c r="I198" s="118">
        <v>16</v>
      </c>
      <c r="J198" s="119">
        <f>Annually!H207-SUM(G198:I198)</f>
        <v>13.5</v>
      </c>
      <c r="K198" s="184">
        <v>4.12088</v>
      </c>
      <c r="L198" s="185">
        <v>30.179119999999998</v>
      </c>
      <c r="M198" s="185">
        <v>15.600000000000001</v>
      </c>
      <c r="N198" s="183">
        <f>Annually!I207-M198-L198-K198</f>
        <v>0.5</v>
      </c>
      <c r="O198" s="184">
        <v>0.02</v>
      </c>
      <c r="P198" s="185">
        <f>6.82685-O198</f>
        <v>6.806850000000001</v>
      </c>
      <c r="Q198" s="185">
        <v>0.07314999999999962</v>
      </c>
      <c r="R198" s="185">
        <f>-Q198-P198-O198+Annually!J207</f>
        <v>0</v>
      </c>
      <c r="S198" s="184">
        <v>0</v>
      </c>
      <c r="T198" s="185">
        <v>0.042</v>
      </c>
      <c r="U198" s="185">
        <v>0.058</v>
      </c>
      <c r="V198" s="185">
        <v>1.42044</v>
      </c>
      <c r="W198" s="184">
        <v>0.03196</v>
      </c>
      <c r="X198" s="185">
        <v>7.945720000000001</v>
      </c>
      <c r="Y198" s="185">
        <v>0.32232000000000016</v>
      </c>
      <c r="Z198" s="185">
        <f>Annually!L207-Y198-X198-W198</f>
        <v>1.5000000000000007</v>
      </c>
      <c r="AA198" s="184">
        <v>0.6467</v>
      </c>
      <c r="AB198" s="185">
        <v>4.8689</v>
      </c>
      <c r="AC198" s="185">
        <v>3.6843999999999992</v>
      </c>
      <c r="AD198" s="185">
        <f>Annually!M207-AC198-AB198-AA198</f>
        <v>13.8</v>
      </c>
      <c r="AE198" s="184">
        <v>10.53754</v>
      </c>
      <c r="AF198" s="185">
        <v>11.925800000000002</v>
      </c>
      <c r="AG198" s="257">
        <v>33.53666</v>
      </c>
      <c r="AH198" s="185">
        <f>Annually!N207-AG198-AF198-AE198</f>
        <v>28.168449999999993</v>
      </c>
      <c r="AI198" s="468">
        <v>25.910539999999997</v>
      </c>
      <c r="AJ198" s="185">
        <v>31.089460000000003</v>
      </c>
      <c r="AK198" s="185">
        <v>26.34049999999999</v>
      </c>
      <c r="AL198" s="185">
        <f>Annually!O207-AK198-AJ198-AI198</f>
        <v>16.035140000000013</v>
      </c>
      <c r="AM198" s="468">
        <v>13.63392</v>
      </c>
      <c r="AN198" s="185">
        <v>21.14144</v>
      </c>
      <c r="AO198" s="185">
        <v>15.9722</v>
      </c>
      <c r="AP198" s="181">
        <f>Annually!P207-AM198-AN198-AO198</f>
        <v>5.215920000000001</v>
      </c>
      <c r="AQ198" s="468">
        <v>5.88346</v>
      </c>
      <c r="AR198" s="185">
        <v>23.37376</v>
      </c>
      <c r="AS198" s="185">
        <v>18.26098</v>
      </c>
      <c r="AT198" s="181">
        <f>Annually!Q207-AQ198-AR198-AS198</f>
        <v>6.945160000000001</v>
      </c>
      <c r="AU198" s="468">
        <v>1.9333400000000003</v>
      </c>
      <c r="AV198" s="185">
        <v>23.925479999999997</v>
      </c>
      <c r="AW198" s="252">
        <v>23.27208</v>
      </c>
      <c r="AX198" s="274">
        <f>Annually!R207-AU198-AV198-AW198</f>
        <v>33.54995000000001</v>
      </c>
      <c r="AY198" s="590">
        <v>10.793099999999999</v>
      </c>
      <c r="AZ198" s="571">
        <v>8.62528</v>
      </c>
      <c r="BA198" s="252">
        <v>6.6036399999999995</v>
      </c>
      <c r="BB198" s="274">
        <f>Annually!S207-AY198-AZ198-BA198</f>
        <v>19.01458</v>
      </c>
      <c r="BC198" s="590">
        <v>23.342080000000003</v>
      </c>
      <c r="BD198" s="571">
        <v>15.1323</v>
      </c>
      <c r="BE198" s="571">
        <v>17.33112</v>
      </c>
      <c r="BF198" s="274">
        <f>Annually!T207-BC198-BD198-BE198</f>
        <v>15.92588</v>
      </c>
      <c r="BG198" s="590">
        <v>8.437299999999999</v>
      </c>
      <c r="BH198" s="571">
        <v>8.42872</v>
      </c>
      <c r="BI198" s="571">
        <v>24.736180000000004</v>
      </c>
      <c r="BJ198" s="274">
        <f>Annually!U207-BG198-BH198-BI198</f>
        <v>19.658079999999998</v>
      </c>
      <c r="BK198" s="519"/>
      <c r="BL198" s="158">
        <v>10.5657</v>
      </c>
      <c r="BM198" s="158">
        <v>14.4143</v>
      </c>
      <c r="BN198" s="158">
        <v>55.38728999999999</v>
      </c>
      <c r="BO198" s="159">
        <v>0.1664000000000101</v>
      </c>
      <c r="BP198" s="160">
        <v>0</v>
      </c>
      <c r="BQ198" s="161">
        <v>0.02016</v>
      </c>
      <c r="BR198" s="161">
        <v>15.97984</v>
      </c>
      <c r="BS198" s="162">
        <f>Annually!AC207-SUM(Quarterly!BP198:BR198)</f>
        <v>13.5</v>
      </c>
      <c r="BT198" s="163">
        <v>4.12088</v>
      </c>
      <c r="BU198" s="164">
        <v>30.179119999999998</v>
      </c>
      <c r="BV198" s="164">
        <v>15.600000000000001</v>
      </c>
      <c r="BW198" s="165">
        <f>Annually!AD207-Quarterly!BV198-Quarterly!BU198-Quarterly!BT198</f>
        <v>0.5</v>
      </c>
      <c r="BX198" s="163">
        <v>0.02</v>
      </c>
      <c r="BY198" s="164">
        <v>6.806850000000001</v>
      </c>
      <c r="BZ198" s="164">
        <v>0.07314999999999962</v>
      </c>
      <c r="CA198" s="166">
        <f>-BZ198-BY198-BX198+Annually!AE207</f>
        <v>0</v>
      </c>
      <c r="CB198" s="163">
        <v>0</v>
      </c>
      <c r="CC198" s="164">
        <v>0.042</v>
      </c>
      <c r="CD198" s="164">
        <v>0.058</v>
      </c>
      <c r="CE198" s="164">
        <v>1.4</v>
      </c>
      <c r="CF198" s="163">
        <v>0.03196</v>
      </c>
      <c r="CG198" s="164">
        <v>7.945720000000001</v>
      </c>
      <c r="CH198" s="164">
        <v>0.32232000000000016</v>
      </c>
      <c r="CI198" s="164">
        <f>Annually!AG207-Quarterly!CH198-Quarterly!CG198-Quarterly!CF198</f>
        <v>1.5000000000000007</v>
      </c>
      <c r="CJ198" s="163">
        <v>0.6467</v>
      </c>
      <c r="CK198" s="164">
        <v>4.8689</v>
      </c>
      <c r="CL198" s="164">
        <v>3.6843999999999992</v>
      </c>
      <c r="CM198" s="166">
        <f>Annually!AH207-CL198-CK198-CJ198</f>
        <v>13.8</v>
      </c>
      <c r="CN198" s="163">
        <v>10.53754</v>
      </c>
      <c r="CO198" s="164">
        <v>11.925800000000002</v>
      </c>
      <c r="CP198" s="121">
        <v>33.53666</v>
      </c>
      <c r="CQ198" s="164">
        <f>Annually!AI207-CP198-CO198-CN198</f>
        <v>28.168449999999993</v>
      </c>
      <c r="CR198" s="483">
        <v>25.910539999999997</v>
      </c>
      <c r="CS198" s="164">
        <v>31.278480000000002</v>
      </c>
      <c r="CT198" s="164">
        <v>26.151479999999992</v>
      </c>
      <c r="CU198" s="164">
        <f>Annually!AJ207-CT198-CS198-CR198</f>
        <v>16.035140000000013</v>
      </c>
      <c r="CV198" s="163">
        <v>13.63392</v>
      </c>
      <c r="CW198" s="164">
        <v>21.14144</v>
      </c>
      <c r="CX198" s="164">
        <v>15.9722</v>
      </c>
      <c r="CY198" s="164">
        <f>Annually!AK207-CX198-CW198-CV198</f>
        <v>5.215920000000004</v>
      </c>
      <c r="CZ198" s="163">
        <v>5.88346</v>
      </c>
      <c r="DA198" s="121">
        <v>23.37666</v>
      </c>
      <c r="DB198" s="121">
        <v>18.25808</v>
      </c>
      <c r="DC198" s="164">
        <f>Annually!AL207-DB198-DA198-CZ198</f>
        <v>6.9451600000000004</v>
      </c>
      <c r="DD198" s="163">
        <v>1.9333400000000003</v>
      </c>
      <c r="DE198" s="121">
        <v>23.925479999999997</v>
      </c>
      <c r="DF198" s="121">
        <v>23.27208</v>
      </c>
      <c r="DG198" s="164">
        <f>Annually!AM207-DF198-DE198-DD198</f>
        <v>33.54995000000001</v>
      </c>
      <c r="DH198" s="163">
        <v>10.793099999999999</v>
      </c>
      <c r="DI198" s="121">
        <v>8.62528</v>
      </c>
      <c r="DJ198" s="121">
        <v>6.6036399999999995</v>
      </c>
      <c r="DK198" s="164">
        <f>Annually!AN207-DJ198-DI198-DH198</f>
        <v>19.014580000000002</v>
      </c>
      <c r="DL198" s="163">
        <v>23.342080000000003</v>
      </c>
      <c r="DM198" s="121">
        <v>15.132299999999994</v>
      </c>
      <c r="DN198" s="121">
        <v>17.331120000000006</v>
      </c>
      <c r="DO198" s="164">
        <f>Annually!AO207-DN198-DM198-DL198</f>
        <v>15.92588</v>
      </c>
      <c r="DP198" s="163">
        <v>8.437299999999999</v>
      </c>
      <c r="DQ198" s="121">
        <v>8.42872</v>
      </c>
      <c r="DR198" s="121">
        <v>24.736180000000004</v>
      </c>
      <c r="DS198" s="164">
        <f>Annually!AP207-DR198-DQ198-DP198</f>
        <v>19.658079999999998</v>
      </c>
      <c r="DV198" s="63"/>
      <c r="DX198" s="63"/>
    </row>
    <row r="199" spans="1:128" ht="15.75">
      <c r="A199" s="116" t="s">
        <v>84</v>
      </c>
      <c r="B199" s="117" t="s">
        <v>85</v>
      </c>
      <c r="C199" s="118">
        <v>4</v>
      </c>
      <c r="D199" s="118">
        <v>6.9</v>
      </c>
      <c r="E199" s="118">
        <v>9.007902</v>
      </c>
      <c r="F199" s="119">
        <v>7.048044000000001</v>
      </c>
      <c r="G199" s="120">
        <v>5.3</v>
      </c>
      <c r="H199" s="118">
        <v>9.100000000000001</v>
      </c>
      <c r="I199" s="118">
        <v>6.7</v>
      </c>
      <c r="J199" s="119">
        <f>Annually!H208-SUM(G199:I199)</f>
        <v>8.399999999999999</v>
      </c>
      <c r="K199" s="184">
        <v>7</v>
      </c>
      <c r="L199" s="185">
        <v>10.7</v>
      </c>
      <c r="M199" s="185">
        <v>9.8</v>
      </c>
      <c r="N199" s="183">
        <f>Annually!I208-M199-L199-K199</f>
        <v>9.700000000000003</v>
      </c>
      <c r="O199" s="184">
        <v>8.95</v>
      </c>
      <c r="P199" s="185">
        <f>20.12275-O199</f>
        <v>11.17275</v>
      </c>
      <c r="Q199" s="185">
        <v>5.9772500000000015</v>
      </c>
      <c r="R199" s="185">
        <f>-Q199-P199-O199+Annually!J208</f>
        <v>10.199999999999996</v>
      </c>
      <c r="S199" s="184">
        <v>8.5</v>
      </c>
      <c r="T199" s="185">
        <v>10.564</v>
      </c>
      <c r="U199" s="185">
        <v>9.736</v>
      </c>
      <c r="V199" s="185">
        <v>8.7</v>
      </c>
      <c r="W199" s="184">
        <v>6.665856</v>
      </c>
      <c r="X199" s="185">
        <v>10.386116</v>
      </c>
      <c r="Y199" s="185">
        <v>7.348027999999999</v>
      </c>
      <c r="Z199" s="185">
        <f>Annually!L208-Y199-X199-W199</f>
        <v>6.300000000000001</v>
      </c>
      <c r="AA199" s="184">
        <v>5.90292</v>
      </c>
      <c r="AB199" s="185">
        <v>10.079024</v>
      </c>
      <c r="AC199" s="185">
        <v>10.041755999999998</v>
      </c>
      <c r="AD199" s="185">
        <f>Annually!M208-AC199-AB199-AA199</f>
        <v>7.676300000000003</v>
      </c>
      <c r="AE199" s="184">
        <v>6.359486</v>
      </c>
      <c r="AF199" s="185">
        <v>8.383112</v>
      </c>
      <c r="AG199" s="257">
        <v>8.457401999999998</v>
      </c>
      <c r="AH199" s="185">
        <f>Annually!N208-AG199-AF199-AE199</f>
        <v>5.474526000000001</v>
      </c>
      <c r="AI199" s="468">
        <v>6.1974920000000004</v>
      </c>
      <c r="AJ199" s="185">
        <v>9.802508</v>
      </c>
      <c r="AK199" s="185">
        <v>8.652771999999999</v>
      </c>
      <c r="AL199" s="185">
        <f>Annually!O208-AK199-AJ199-AI199</f>
        <v>7.484597999999998</v>
      </c>
      <c r="AM199" s="468">
        <v>5.599183999999999</v>
      </c>
      <c r="AN199" s="185">
        <v>9.483902</v>
      </c>
      <c r="AO199" s="185">
        <v>7.985975999999999</v>
      </c>
      <c r="AP199" s="181">
        <f>Annually!P208-AM199-AN199-AO199</f>
        <v>7.705099999999996</v>
      </c>
      <c r="AQ199" s="468">
        <v>5.6467</v>
      </c>
      <c r="AR199" s="185">
        <v>8.431268</v>
      </c>
      <c r="AS199" s="185">
        <v>8.686408</v>
      </c>
      <c r="AT199" s="181">
        <f>Annually!Q208-AQ199-AR199-AS199</f>
        <v>1.2521520000000024</v>
      </c>
      <c r="AU199" s="468">
        <v>6.75215</v>
      </c>
      <c r="AV199" s="185">
        <v>7.2562</v>
      </c>
      <c r="AW199" s="252">
        <v>10.601735999999999</v>
      </c>
      <c r="AX199" s="274">
        <f>Annually!R208-AU199-AV199-AW199</f>
        <v>8.736155999999998</v>
      </c>
      <c r="AY199" s="590">
        <v>6.303316</v>
      </c>
      <c r="AZ199" s="571">
        <v>10.548928</v>
      </c>
      <c r="BA199" s="252">
        <v>10.761496000000001</v>
      </c>
      <c r="BB199" s="274">
        <f>Annually!S208-AY199-AZ199-BA199</f>
        <v>7.328142</v>
      </c>
      <c r="BC199" s="590">
        <v>6.6953879999999995</v>
      </c>
      <c r="BD199" s="571">
        <v>9.548808</v>
      </c>
      <c r="BE199" s="571">
        <v>10.305898000000001</v>
      </c>
      <c r="BF199" s="274">
        <f>Annually!T208-BC199-BD199-BE199</f>
        <v>6.5033689999999975</v>
      </c>
      <c r="BG199" s="590">
        <v>7.711944</v>
      </c>
      <c r="BH199" s="571">
        <v>10.089840000000002</v>
      </c>
      <c r="BI199" s="571">
        <v>10.883423999999998</v>
      </c>
      <c r="BJ199" s="274">
        <f>Annually!U208-BG199-BH199-BI199</f>
        <v>9.653476000000001</v>
      </c>
      <c r="BK199" s="519"/>
      <c r="BL199" s="158">
        <v>4.3193</v>
      </c>
      <c r="BM199" s="158">
        <v>6.7806999999999995</v>
      </c>
      <c r="BN199" s="158">
        <v>8.891862000000001</v>
      </c>
      <c r="BO199" s="159">
        <v>6.96302</v>
      </c>
      <c r="BP199" s="160">
        <v>5.6</v>
      </c>
      <c r="BQ199" s="161">
        <v>9.17</v>
      </c>
      <c r="BR199" s="161">
        <v>6.629999999999999</v>
      </c>
      <c r="BS199" s="162">
        <f>Annually!AC208-SUM(Quarterly!BP199:BR199)</f>
        <v>8.100000000000001</v>
      </c>
      <c r="BT199" s="163">
        <v>7.3</v>
      </c>
      <c r="BU199" s="164">
        <v>10.599999999999998</v>
      </c>
      <c r="BV199" s="164">
        <v>9.900000000000002</v>
      </c>
      <c r="BW199" s="165">
        <f>Annually!AD208-Quarterly!BV199-Quarterly!BU199-Quarterly!BT199</f>
        <v>9.499999999999996</v>
      </c>
      <c r="BX199" s="163">
        <v>9</v>
      </c>
      <c r="BY199" s="164">
        <v>11.224101999999998</v>
      </c>
      <c r="BZ199" s="164">
        <v>5.975898000000001</v>
      </c>
      <c r="CA199" s="166">
        <f>-BZ199-BY199-BX199+Annually!AE208</f>
        <v>10.2</v>
      </c>
      <c r="CB199" s="163">
        <v>8.6</v>
      </c>
      <c r="CC199" s="164">
        <v>10.6</v>
      </c>
      <c r="CD199" s="164">
        <v>9.600000000000003</v>
      </c>
      <c r="CE199" s="164">
        <v>8.499999999999993</v>
      </c>
      <c r="CF199" s="163">
        <v>6.8675440000000005</v>
      </c>
      <c r="CG199" s="164">
        <v>10.361586</v>
      </c>
      <c r="CH199" s="164">
        <v>7.570869999999999</v>
      </c>
      <c r="CI199" s="164">
        <f>Annually!AG208-Quarterly!CH199-Quarterly!CG199-Quarterly!CF199</f>
        <v>5.800000000000001</v>
      </c>
      <c r="CJ199" s="163">
        <v>6.18754</v>
      </c>
      <c r="CK199" s="164">
        <v>10.225755999999999</v>
      </c>
      <c r="CL199" s="164">
        <v>9.886704</v>
      </c>
      <c r="CM199" s="166">
        <f>Annually!AH208-CL199-CK199-CJ199</f>
        <v>7.699999999999999</v>
      </c>
      <c r="CN199" s="163">
        <v>6.25405</v>
      </c>
      <c r="CO199" s="164">
        <v>8.573804000000003</v>
      </c>
      <c r="CP199" s="121">
        <v>8.072145999999996</v>
      </c>
      <c r="CQ199" s="164">
        <f>Annually!AI208-CP199-CO199-CN199</f>
        <v>5.400000000000001</v>
      </c>
      <c r="CR199" s="483">
        <v>6.408324</v>
      </c>
      <c r="CS199" s="164">
        <v>9.564639999999999</v>
      </c>
      <c r="CT199" s="164">
        <v>9.029704</v>
      </c>
      <c r="CU199" s="164">
        <f>Annually!AJ208-CT199-CS199-CR199</f>
        <v>7.129412</v>
      </c>
      <c r="CV199" s="163">
        <v>5.87516</v>
      </c>
      <c r="CW199" s="164">
        <v>9.627469999999999</v>
      </c>
      <c r="CX199" s="164">
        <v>7.846419999999999</v>
      </c>
      <c r="CY199" s="164">
        <f>Annually!AK208-CX199-CW199-CV199</f>
        <v>7.421864000000004</v>
      </c>
      <c r="CZ199" s="163">
        <v>6.06968</v>
      </c>
      <c r="DA199" s="121">
        <v>8.379784</v>
      </c>
      <c r="DB199" s="121">
        <v>8.371875999999999</v>
      </c>
      <c r="DC199" s="164">
        <f>Annually!AL208-DB199-DA199-CZ199</f>
        <v>1.4539639999999991</v>
      </c>
      <c r="DD199" s="163">
        <v>6.76591</v>
      </c>
      <c r="DE199" s="121">
        <v>7.3787</v>
      </c>
      <c r="DF199" s="121">
        <v>10.490779999999999</v>
      </c>
      <c r="DG199" s="164">
        <f>Annually!AM208-DF199-DE199-DD199</f>
        <v>8.525059999999996</v>
      </c>
      <c r="DH199" s="163">
        <v>6.52902</v>
      </c>
      <c r="DI199" s="121">
        <v>10.62356</v>
      </c>
      <c r="DJ199" s="121">
        <v>10.41748</v>
      </c>
      <c r="DK199" s="164">
        <f>Annually!AN208-DJ199-DI199-DH199</f>
        <v>7.482660000000004</v>
      </c>
      <c r="DL199" s="163">
        <v>6.847300000000001</v>
      </c>
      <c r="DM199" s="121">
        <v>9.57444</v>
      </c>
      <c r="DN199" s="121">
        <v>10.41573</v>
      </c>
      <c r="DO199" s="164">
        <f>Annually!AO208-DN199-DM199-DL199</f>
        <v>6.112961000000002</v>
      </c>
      <c r="DP199" s="163">
        <v>8.01068</v>
      </c>
      <c r="DQ199" s="121">
        <v>10.0336</v>
      </c>
      <c r="DR199" s="121">
        <v>10.929279999999999</v>
      </c>
      <c r="DS199" s="164">
        <f>Annually!AP208-DR199-DQ199-DP199</f>
        <v>9.286380000000001</v>
      </c>
      <c r="DV199" s="63"/>
      <c r="DX199" s="63"/>
    </row>
    <row r="200" spans="1:123" ht="15" customHeight="1" hidden="1">
      <c r="A200" s="116" t="s">
        <v>86</v>
      </c>
      <c r="B200" s="116"/>
      <c r="C200" s="118"/>
      <c r="D200" s="118"/>
      <c r="E200" s="118"/>
      <c r="F200" s="119"/>
      <c r="G200" s="167"/>
      <c r="H200" s="168"/>
      <c r="I200" s="168"/>
      <c r="J200" s="169"/>
      <c r="K200" s="170"/>
      <c r="L200" s="187"/>
      <c r="M200" s="187"/>
      <c r="N200" s="76"/>
      <c r="O200" s="188"/>
      <c r="P200" s="189"/>
      <c r="Q200" s="189"/>
      <c r="R200" s="189"/>
      <c r="S200" s="188"/>
      <c r="T200" s="189"/>
      <c r="U200" s="189"/>
      <c r="V200" s="189"/>
      <c r="W200" s="374"/>
      <c r="X200" s="375"/>
      <c r="Y200" s="375"/>
      <c r="Z200" s="189"/>
      <c r="AA200" s="374"/>
      <c r="AB200" s="375"/>
      <c r="AC200" s="375"/>
      <c r="AD200" s="375"/>
      <c r="AE200" s="374"/>
      <c r="AF200" s="375"/>
      <c r="AG200" s="375"/>
      <c r="AH200" s="375"/>
      <c r="AI200" s="188"/>
      <c r="AJ200" s="375"/>
      <c r="AK200" s="375"/>
      <c r="AL200" s="375"/>
      <c r="AM200" s="188"/>
      <c r="AN200" s="375"/>
      <c r="AO200" s="375"/>
      <c r="AP200" s="75"/>
      <c r="AQ200" s="188"/>
      <c r="AR200" s="375"/>
      <c r="AS200" s="375"/>
      <c r="AT200" s="75"/>
      <c r="AU200" s="188"/>
      <c r="AV200" s="375"/>
      <c r="AW200" s="375"/>
      <c r="AX200" s="272"/>
      <c r="AY200" s="591"/>
      <c r="AZ200" s="612"/>
      <c r="BA200" s="375"/>
      <c r="BB200" s="613"/>
      <c r="BC200" s="591"/>
      <c r="BD200" s="612"/>
      <c r="BE200" s="612"/>
      <c r="BF200" s="613"/>
      <c r="BG200" s="591"/>
      <c r="BH200" s="612"/>
      <c r="BI200" s="612"/>
      <c r="BJ200" s="612"/>
      <c r="BK200" s="519"/>
      <c r="BL200" s="158"/>
      <c r="BM200" s="158"/>
      <c r="BN200" s="158"/>
      <c r="BO200" s="159"/>
      <c r="BP200" s="173"/>
      <c r="BR200" s="140">
        <f>BW200-BQ200-BP200</f>
        <v>0</v>
      </c>
      <c r="BS200" s="162">
        <f>Annually!AC209-SUM(Quarterly!BP200:BR200)</f>
        <v>0</v>
      </c>
      <c r="BT200" s="190"/>
      <c r="BU200" s="179">
        <f>BW200-BT200</f>
        <v>0</v>
      </c>
      <c r="BV200" s="179"/>
      <c r="BW200" s="172"/>
      <c r="BX200" s="173"/>
      <c r="CB200" s="173"/>
      <c r="CF200" s="351"/>
      <c r="CG200" s="352"/>
      <c r="CH200" s="352"/>
      <c r="CJ200" s="351"/>
      <c r="CK200" s="352"/>
      <c r="CL200" s="352"/>
      <c r="CM200" s="352"/>
      <c r="CN200" s="173"/>
      <c r="CO200" s="352"/>
      <c r="CP200" s="352"/>
      <c r="CQ200" s="442"/>
      <c r="CR200" s="173"/>
      <c r="CS200" s="352"/>
      <c r="CT200" s="352"/>
      <c r="CU200" s="442"/>
      <c r="CV200" s="351"/>
      <c r="CW200" s="352"/>
      <c r="CX200" s="352"/>
      <c r="CY200" s="352"/>
      <c r="CZ200" s="351"/>
      <c r="DA200" s="352"/>
      <c r="DB200" s="352"/>
      <c r="DC200" s="352"/>
      <c r="DD200" s="351">
        <v>6.76591</v>
      </c>
      <c r="DE200" s="352"/>
      <c r="DF200" s="352"/>
      <c r="DG200" s="352"/>
      <c r="DH200" s="351"/>
      <c r="DI200" s="352"/>
      <c r="DJ200" s="352"/>
      <c r="DK200" s="442"/>
      <c r="DL200" s="351"/>
      <c r="DM200" s="352"/>
      <c r="DN200" s="352"/>
      <c r="DO200" s="442"/>
      <c r="DP200" s="351"/>
      <c r="DQ200" s="352"/>
      <c r="DR200" s="352"/>
      <c r="DS200" s="442"/>
    </row>
    <row r="201" spans="1:123" ht="15" customHeight="1" hidden="1">
      <c r="A201" s="99" t="s">
        <v>104</v>
      </c>
      <c r="B201" s="99"/>
      <c r="C201" s="118"/>
      <c r="D201" s="118"/>
      <c r="E201" s="118"/>
      <c r="F201" s="119"/>
      <c r="G201" s="167"/>
      <c r="H201" s="168"/>
      <c r="I201" s="168"/>
      <c r="J201" s="169"/>
      <c r="K201" s="170"/>
      <c r="L201" s="187"/>
      <c r="M201" s="187"/>
      <c r="N201" s="76"/>
      <c r="O201" s="188"/>
      <c r="P201" s="189"/>
      <c r="Q201" s="189"/>
      <c r="R201" s="189"/>
      <c r="S201" s="188"/>
      <c r="T201" s="189"/>
      <c r="U201" s="189"/>
      <c r="V201" s="189"/>
      <c r="W201" s="374"/>
      <c r="X201" s="375"/>
      <c r="Y201" s="375"/>
      <c r="Z201" s="189"/>
      <c r="AA201" s="374"/>
      <c r="AB201" s="375"/>
      <c r="AC201" s="375"/>
      <c r="AD201" s="375"/>
      <c r="AE201" s="374"/>
      <c r="AF201" s="375"/>
      <c r="AG201" s="375"/>
      <c r="AH201" s="375"/>
      <c r="AI201" s="188"/>
      <c r="AJ201" s="375"/>
      <c r="AK201" s="375"/>
      <c r="AL201" s="375"/>
      <c r="AM201" s="188"/>
      <c r="AN201" s="375"/>
      <c r="AO201" s="375"/>
      <c r="AP201" s="75"/>
      <c r="AQ201" s="188"/>
      <c r="AR201" s="375"/>
      <c r="AS201" s="375"/>
      <c r="AT201" s="75"/>
      <c r="AU201" s="188"/>
      <c r="AV201" s="375"/>
      <c r="AW201" s="375"/>
      <c r="AX201" s="272"/>
      <c r="AY201" s="591"/>
      <c r="AZ201" s="612"/>
      <c r="BA201" s="375"/>
      <c r="BB201" s="614"/>
      <c r="BC201" s="591"/>
      <c r="BD201" s="612"/>
      <c r="BE201" s="612"/>
      <c r="BF201" s="614"/>
      <c r="BG201" s="591"/>
      <c r="BH201" s="612"/>
      <c r="BI201" s="612"/>
      <c r="BJ201" s="612"/>
      <c r="BK201" s="519"/>
      <c r="BL201" s="158"/>
      <c r="BM201" s="158"/>
      <c r="BN201" s="158"/>
      <c r="BO201" s="159"/>
      <c r="BP201" s="173"/>
      <c r="BR201" s="140">
        <f>BW201-BQ201-BP201</f>
        <v>0</v>
      </c>
      <c r="BS201" s="162">
        <f>Annually!AC210-SUM(Quarterly!BP201:BR201)</f>
        <v>0</v>
      </c>
      <c r="BT201" s="190"/>
      <c r="BU201" s="179">
        <f>BW201-BT201</f>
        <v>0</v>
      </c>
      <c r="BV201" s="179"/>
      <c r="BW201" s="172"/>
      <c r="BX201" s="173"/>
      <c r="CB201" s="173"/>
      <c r="CF201" s="351"/>
      <c r="CG201" s="352"/>
      <c r="CH201" s="352"/>
      <c r="CJ201" s="351"/>
      <c r="CK201" s="352"/>
      <c r="CL201" s="352"/>
      <c r="CM201" s="352"/>
      <c r="CN201" s="173"/>
      <c r="CO201" s="352"/>
      <c r="CP201" s="352"/>
      <c r="CQ201" s="442"/>
      <c r="CR201" s="173"/>
      <c r="CS201" s="352"/>
      <c r="CT201" s="352"/>
      <c r="CU201" s="442"/>
      <c r="CV201" s="351"/>
      <c r="CW201" s="352"/>
      <c r="CX201" s="352"/>
      <c r="CY201" s="352"/>
      <c r="CZ201" s="351"/>
      <c r="DA201" s="352"/>
      <c r="DB201" s="352"/>
      <c r="DC201" s="352"/>
      <c r="DD201" s="351"/>
      <c r="DE201" s="352"/>
      <c r="DF201" s="352"/>
      <c r="DG201" s="352"/>
      <c r="DH201" s="351"/>
      <c r="DI201" s="352"/>
      <c r="DJ201" s="352"/>
      <c r="DK201" s="442"/>
      <c r="DL201" s="351"/>
      <c r="DM201" s="352"/>
      <c r="DN201" s="352"/>
      <c r="DO201" s="442"/>
      <c r="DP201" s="351"/>
      <c r="DQ201" s="352"/>
      <c r="DR201" s="352"/>
      <c r="DS201" s="442"/>
    </row>
    <row r="202" spans="1:123" ht="15" customHeight="1" hidden="1">
      <c r="A202" s="116" t="s">
        <v>88</v>
      </c>
      <c r="B202" s="116"/>
      <c r="C202" s="118"/>
      <c r="D202" s="118"/>
      <c r="E202" s="118"/>
      <c r="F202" s="119"/>
      <c r="G202" s="167"/>
      <c r="H202" s="168"/>
      <c r="I202" s="168"/>
      <c r="J202" s="169"/>
      <c r="K202" s="170"/>
      <c r="L202" s="187"/>
      <c r="M202" s="187"/>
      <c r="N202" s="76"/>
      <c r="O202" s="188"/>
      <c r="P202" s="189"/>
      <c r="Q202" s="189"/>
      <c r="R202" s="189"/>
      <c r="S202" s="188"/>
      <c r="T202" s="189"/>
      <c r="U202" s="189"/>
      <c r="V202" s="189"/>
      <c r="W202" s="374"/>
      <c r="X202" s="375"/>
      <c r="Y202" s="375"/>
      <c r="Z202" s="189"/>
      <c r="AA202" s="374"/>
      <c r="AB202" s="375"/>
      <c r="AC202" s="375"/>
      <c r="AD202" s="375"/>
      <c r="AE202" s="374"/>
      <c r="AF202" s="375"/>
      <c r="AG202" s="375"/>
      <c r="AH202" s="375"/>
      <c r="AI202" s="188"/>
      <c r="AJ202" s="375"/>
      <c r="AK202" s="375"/>
      <c r="AL202" s="375"/>
      <c r="AM202" s="188"/>
      <c r="AN202" s="375"/>
      <c r="AO202" s="375"/>
      <c r="AP202" s="75"/>
      <c r="AQ202" s="188"/>
      <c r="AR202" s="375"/>
      <c r="AS202" s="375"/>
      <c r="AT202" s="75"/>
      <c r="AU202" s="188"/>
      <c r="AV202" s="375"/>
      <c r="AW202" s="375"/>
      <c r="AX202" s="272"/>
      <c r="AY202" s="591"/>
      <c r="AZ202" s="612"/>
      <c r="BA202" s="375"/>
      <c r="BB202" s="615"/>
      <c r="BC202" s="591"/>
      <c r="BD202" s="612"/>
      <c r="BE202" s="612"/>
      <c r="BF202" s="615"/>
      <c r="BG202" s="591"/>
      <c r="BH202" s="612"/>
      <c r="BI202" s="612"/>
      <c r="BJ202" s="612"/>
      <c r="BK202" s="519"/>
      <c r="BL202" s="158"/>
      <c r="BM202" s="158"/>
      <c r="BN202" s="158"/>
      <c r="BO202" s="159"/>
      <c r="BP202" s="173"/>
      <c r="BR202" s="140">
        <f>BW202-BQ202-BP202</f>
        <v>0</v>
      </c>
      <c r="BS202" s="162">
        <f>Annually!AC211-SUM(Quarterly!BP202:BR202)</f>
        <v>0</v>
      </c>
      <c r="BT202" s="190"/>
      <c r="BU202" s="179">
        <f>BW202-BT202</f>
        <v>0</v>
      </c>
      <c r="BV202" s="179"/>
      <c r="BW202" s="172"/>
      <c r="BX202" s="173"/>
      <c r="CB202" s="173"/>
      <c r="CF202" s="351"/>
      <c r="CG202" s="352"/>
      <c r="CH202" s="352"/>
      <c r="CJ202" s="351"/>
      <c r="CK202" s="352"/>
      <c r="CL202" s="352"/>
      <c r="CM202" s="352"/>
      <c r="CN202" s="173"/>
      <c r="CO202" s="352"/>
      <c r="CP202" s="352"/>
      <c r="CQ202" s="442"/>
      <c r="CR202" s="173"/>
      <c r="CS202" s="352"/>
      <c r="CT202" s="352"/>
      <c r="CU202" s="442"/>
      <c r="CV202" s="351"/>
      <c r="CW202" s="352"/>
      <c r="CX202" s="352"/>
      <c r="CY202" s="352"/>
      <c r="CZ202" s="351"/>
      <c r="DA202" s="352"/>
      <c r="DB202" s="352"/>
      <c r="DC202" s="352"/>
      <c r="DD202" s="351"/>
      <c r="DE202" s="352"/>
      <c r="DF202" s="352"/>
      <c r="DG202" s="352"/>
      <c r="DH202" s="351"/>
      <c r="DI202" s="352"/>
      <c r="DJ202" s="352"/>
      <c r="DK202" s="442"/>
      <c r="DL202" s="351"/>
      <c r="DM202" s="352"/>
      <c r="DN202" s="352"/>
      <c r="DO202" s="442"/>
      <c r="DP202" s="351"/>
      <c r="DQ202" s="352"/>
      <c r="DR202" s="352"/>
      <c r="DS202" s="442"/>
    </row>
    <row r="203" spans="1:123" ht="15.75">
      <c r="A203" s="98" t="s">
        <v>113</v>
      </c>
      <c r="B203" s="98" t="s">
        <v>112</v>
      </c>
      <c r="C203" s="71">
        <f>C171+C173+C180+C196-C172-C174-C181</f>
        <v>406.99304</v>
      </c>
      <c r="D203" s="71">
        <f>D171+D173+D180+D196-D172-D174-D181</f>
        <v>439.9069600000001</v>
      </c>
      <c r="E203" s="71">
        <f>E171+E173+E180+E196-E172-E174-E181</f>
        <v>453.1261120000001</v>
      </c>
      <c r="F203" s="72">
        <f>F171+F173+F180+F196-F172-F174-F181</f>
        <v>443.460414</v>
      </c>
      <c r="G203" s="73">
        <f aca="true" t="shared" si="605" ref="G203:N203">G171+G173+G180+G196-G201-G172-G174-G181</f>
        <v>449.369</v>
      </c>
      <c r="H203" s="71">
        <f t="shared" si="605"/>
        <v>423.45817000000005</v>
      </c>
      <c r="I203" s="71">
        <f t="shared" si="605"/>
        <v>309.77283000000006</v>
      </c>
      <c r="J203" s="72">
        <f t="shared" si="605"/>
        <v>402.18624</v>
      </c>
      <c r="K203" s="75">
        <f t="shared" si="605"/>
        <v>426.6208799999999</v>
      </c>
      <c r="L203" s="75">
        <f t="shared" si="605"/>
        <v>428.2791200000001</v>
      </c>
      <c r="M203" s="75">
        <f t="shared" si="605"/>
        <v>415.5000000000001</v>
      </c>
      <c r="N203" s="272">
        <f t="shared" si="605"/>
        <v>378.70000000000005</v>
      </c>
      <c r="O203" s="74">
        <f aca="true" t="shared" si="606" ref="O203:V203">O171+O173+O180+O196-O201-O172-O174-O181</f>
        <v>422.23999999999995</v>
      </c>
      <c r="P203" s="75">
        <f t="shared" si="606"/>
        <v>407.66898</v>
      </c>
      <c r="Q203" s="75">
        <f t="shared" si="606"/>
        <v>193.79101999999997</v>
      </c>
      <c r="R203" s="272">
        <f t="shared" si="606"/>
        <v>436.76999999999987</v>
      </c>
      <c r="S203" s="74">
        <f t="shared" si="606"/>
        <v>428.19999999999993</v>
      </c>
      <c r="T203" s="75">
        <f t="shared" si="606"/>
        <v>422.99500000000006</v>
      </c>
      <c r="U203" s="75">
        <f t="shared" si="606"/>
        <v>410.53499999999997</v>
      </c>
      <c r="V203" s="75">
        <f t="shared" si="606"/>
        <v>435.3890250000001</v>
      </c>
      <c r="W203" s="74">
        <f aca="true" t="shared" si="607" ref="W203:AC203">W171+W173+W180+W196-W201-W172-W174-W181</f>
        <v>429.60621599999996</v>
      </c>
      <c r="X203" s="75">
        <f t="shared" si="607"/>
        <v>423.269206</v>
      </c>
      <c r="Y203" s="75">
        <f t="shared" si="607"/>
        <v>323.324578</v>
      </c>
      <c r="Z203" s="75">
        <f t="shared" si="607"/>
        <v>308.8000000000001</v>
      </c>
      <c r="AA203" s="74">
        <f t="shared" si="607"/>
        <v>436.3413700000001</v>
      </c>
      <c r="AB203" s="75">
        <f t="shared" si="607"/>
        <v>447.1435540000001</v>
      </c>
      <c r="AC203" s="75">
        <f t="shared" si="607"/>
        <v>463.7387759999999</v>
      </c>
      <c r="AD203" s="75">
        <f aca="true" t="shared" si="608" ref="AD203:AI203">AD171+AD173+AD180+AD196-AD201-AD172-AD174-AD181</f>
        <v>459.2762999999999</v>
      </c>
      <c r="AE203" s="74">
        <f t="shared" si="608"/>
        <v>474.126026</v>
      </c>
      <c r="AF203" s="75">
        <f t="shared" si="608"/>
        <v>457.08491199999986</v>
      </c>
      <c r="AG203" s="75">
        <f t="shared" si="608"/>
        <v>485.18906200000004</v>
      </c>
      <c r="AH203" s="75">
        <f t="shared" si="608"/>
        <v>423.14297600000015</v>
      </c>
      <c r="AI203" s="376">
        <f t="shared" si="608"/>
        <v>520.336606</v>
      </c>
      <c r="AJ203" s="75">
        <f aca="true" t="shared" si="609" ref="AJ203:AP203">AJ171+AJ173+AJ180+AJ196-AJ201-AJ172-AJ174-AJ181</f>
        <v>546.163394</v>
      </c>
      <c r="AK203" s="75">
        <f t="shared" si="609"/>
        <v>524.1601460000003</v>
      </c>
      <c r="AL203" s="75">
        <f t="shared" si="609"/>
        <v>516.2077439999998</v>
      </c>
      <c r="AM203" s="74">
        <f t="shared" si="609"/>
        <v>523.2490040000001</v>
      </c>
      <c r="AN203" s="75">
        <f t="shared" si="609"/>
        <v>493.2158169999998</v>
      </c>
      <c r="AO203" s="75">
        <f t="shared" si="609"/>
        <v>514.262926</v>
      </c>
      <c r="AP203" s="75">
        <f t="shared" si="609"/>
        <v>496.61289999999985</v>
      </c>
      <c r="AQ203" s="74">
        <f aca="true" t="shared" si="610" ref="AQ203:AW203">AQ171+AQ173+AQ180+AQ196-AQ201-AQ172-AQ174-AQ181</f>
        <v>514.85476</v>
      </c>
      <c r="AR203" s="75">
        <f t="shared" si="610"/>
        <v>474.2651280000001</v>
      </c>
      <c r="AS203" s="75">
        <f t="shared" si="610"/>
        <v>508.031689</v>
      </c>
      <c r="AT203" s="75">
        <f t="shared" si="610"/>
        <v>108.10430100000002</v>
      </c>
      <c r="AU203" s="74">
        <f t="shared" si="610"/>
        <v>548.5908509999999</v>
      </c>
      <c r="AV203" s="75">
        <f t="shared" si="610"/>
        <v>519.14155</v>
      </c>
      <c r="AW203" s="75">
        <f t="shared" si="610"/>
        <v>573.5266160000001</v>
      </c>
      <c r="AX203" s="272">
        <f>AX171+AX173+AX180+AX196-AX201-AX172-AX174-AX181</f>
        <v>537.6941059999999</v>
      </c>
      <c r="AY203" s="588">
        <f>AY171-AY172+AY173+AY180+AY196</f>
        <v>548.6410059999998</v>
      </c>
      <c r="AZ203" s="606">
        <f>AZ171-AZ172+AZ173+AZ180+AZ196</f>
        <v>543.3887980000001</v>
      </c>
      <c r="BA203" s="75">
        <f aca="true" t="shared" si="611" ref="BA203:BF203">BA171+BA173+BA180+BA196-BA201-BA172-BA174-BA181</f>
        <v>539.6851470000001</v>
      </c>
      <c r="BB203" s="272">
        <f t="shared" si="611"/>
        <v>540.7864219999996</v>
      </c>
      <c r="BC203" s="588">
        <f t="shared" si="611"/>
        <v>605.779567</v>
      </c>
      <c r="BD203" s="606">
        <f t="shared" si="611"/>
        <v>530.976809</v>
      </c>
      <c r="BE203" s="606">
        <f t="shared" si="611"/>
        <v>543.8398179999998</v>
      </c>
      <c r="BF203" s="272">
        <f t="shared" si="611"/>
        <v>457.97644900000006</v>
      </c>
      <c r="BG203" s="588">
        <f>BG171+BG173+BG180+BG196-BG201-BG172-BG174-BG181</f>
        <v>585.497844</v>
      </c>
      <c r="BH203" s="606">
        <f>BH171+BH173+BH180+BH196-BH201-BH172-BH174-BH181</f>
        <v>573.81386</v>
      </c>
      <c r="BI203" s="606">
        <f>BI171+BI173+BI180+BI196-BI201-BI172-BI174-BI181</f>
        <v>598.118714</v>
      </c>
      <c r="BJ203" s="606">
        <f>BJ171+BJ173+BJ180+BJ196-BJ201-BJ172-BJ174-BJ181</f>
        <v>588.8526999999997</v>
      </c>
      <c r="BK203" s="519"/>
      <c r="BL203" s="292">
        <f aca="true" t="shared" si="612" ref="BL203:BQ203">BL171+BL173+BL180+BL196-BL172-BL174-BL181</f>
        <v>407.25103</v>
      </c>
      <c r="BM203" s="292">
        <f t="shared" si="612"/>
        <v>398.77028</v>
      </c>
      <c r="BN203" s="292">
        <f t="shared" si="612"/>
        <v>467.77361</v>
      </c>
      <c r="BO203" s="326">
        <f t="shared" si="612"/>
        <v>381.166334</v>
      </c>
      <c r="BP203" s="327">
        <f t="shared" si="612"/>
        <v>398</v>
      </c>
      <c r="BQ203" s="292">
        <f t="shared" si="612"/>
        <v>360.64483999999993</v>
      </c>
      <c r="BR203" s="292">
        <f aca="true" t="shared" si="613" ref="BR203:BX203">BR171+BR173+BR180+BR196-BR172-BR174-BR181</f>
        <v>293.45516</v>
      </c>
      <c r="BS203" s="326">
        <f t="shared" si="613"/>
        <v>383.0000000000001</v>
      </c>
      <c r="BT203" s="327">
        <f t="shared" si="613"/>
        <v>476.32488</v>
      </c>
      <c r="BU203" s="292">
        <f t="shared" si="613"/>
        <v>418.58212000000003</v>
      </c>
      <c r="BV203" s="292">
        <f t="shared" si="613"/>
        <v>404.19300000000004</v>
      </c>
      <c r="BW203" s="326">
        <f t="shared" si="613"/>
        <v>374.848154</v>
      </c>
      <c r="BX203" s="327">
        <f t="shared" si="613"/>
        <v>438.12100000000004</v>
      </c>
      <c r="BY203" s="292">
        <f aca="true" t="shared" si="614" ref="BY203:CE203">BY171+BY173+BY180+BY196-BY172-BY174-BY181</f>
        <v>397.75676599999997</v>
      </c>
      <c r="BZ203" s="292">
        <f t="shared" si="614"/>
        <v>192.92223400000003</v>
      </c>
      <c r="CA203" s="326">
        <f t="shared" si="614"/>
        <v>425.20000000000005</v>
      </c>
      <c r="CB203" s="305">
        <f t="shared" si="614"/>
        <v>426.5</v>
      </c>
      <c r="CC203" s="303">
        <f t="shared" si="614"/>
        <v>419.742</v>
      </c>
      <c r="CD203" s="303">
        <f t="shared" si="614"/>
        <v>423.658</v>
      </c>
      <c r="CE203" s="303">
        <f t="shared" si="614"/>
        <v>451.27931399999994</v>
      </c>
      <c r="CF203" s="305">
        <f aca="true" t="shared" si="615" ref="CF203:CN203">CF171+CF173+CF180+CF196-CF172-CF174-CF181</f>
        <v>417.88753199999996</v>
      </c>
      <c r="CG203" s="303">
        <f t="shared" si="615"/>
        <v>418.924598</v>
      </c>
      <c r="CH203" s="303">
        <f t="shared" si="615"/>
        <v>365.98787000000004</v>
      </c>
      <c r="CI203" s="303">
        <f t="shared" si="615"/>
        <v>286.1000000000001</v>
      </c>
      <c r="CJ203" s="305">
        <f t="shared" si="615"/>
        <v>414.73418999999996</v>
      </c>
      <c r="CK203" s="303">
        <f t="shared" si="615"/>
        <v>461.322256</v>
      </c>
      <c r="CL203" s="303">
        <f t="shared" si="615"/>
        <v>446.15533400000004</v>
      </c>
      <c r="CM203" s="304">
        <f>CM171+CM173+CM180+CM196-CM172-CM174-CM181</f>
        <v>479.19999999999993</v>
      </c>
      <c r="CN203" s="305">
        <f t="shared" si="615"/>
        <v>458.4629</v>
      </c>
      <c r="CO203" s="303">
        <f aca="true" t="shared" si="616" ref="CO203:CT203">CO171+CO173+CO180+CO196-CO172-CO174-CO181</f>
        <v>470.6889510000001</v>
      </c>
      <c r="CP203" s="303">
        <f t="shared" si="616"/>
        <v>490.44814899999994</v>
      </c>
      <c r="CQ203" s="303">
        <f t="shared" si="616"/>
        <v>413.26845000000003</v>
      </c>
      <c r="CR203" s="391">
        <f t="shared" si="616"/>
        <v>516.91427</v>
      </c>
      <c r="CS203" s="303">
        <f t="shared" si="616"/>
        <v>516.92434</v>
      </c>
      <c r="CT203" s="303">
        <f t="shared" si="616"/>
        <v>557.660904</v>
      </c>
      <c r="CU203" s="303">
        <f aca="true" t="shared" si="617" ref="CU203:DF203">CU171+CU173+CU180+CU196-CU172-CU174-CU181</f>
        <v>463.29790599999984</v>
      </c>
      <c r="CV203" s="305">
        <f t="shared" si="617"/>
        <v>559.69418</v>
      </c>
      <c r="CW203" s="303">
        <f t="shared" si="617"/>
        <v>443.59340000000003</v>
      </c>
      <c r="CX203" s="303">
        <f t="shared" si="617"/>
        <v>531.0372100000001</v>
      </c>
      <c r="CY203" s="303">
        <f t="shared" si="617"/>
        <v>534.5857540000001</v>
      </c>
      <c r="CZ203" s="305">
        <f t="shared" si="617"/>
        <v>497.44644999999997</v>
      </c>
      <c r="DA203" s="303">
        <f t="shared" si="617"/>
        <v>472.943384</v>
      </c>
      <c r="DB203" s="303">
        <f t="shared" si="617"/>
        <v>498.38425599999994</v>
      </c>
      <c r="DC203" s="303">
        <f t="shared" si="617"/>
        <v>153.20594400000007</v>
      </c>
      <c r="DD203" s="305">
        <f t="shared" si="617"/>
        <v>535.98148</v>
      </c>
      <c r="DE203" s="303">
        <f t="shared" si="617"/>
        <v>507.26712</v>
      </c>
      <c r="DF203" s="303">
        <f t="shared" si="617"/>
        <v>593.73342</v>
      </c>
      <c r="DG203" s="304">
        <f aca="true" t="shared" si="618" ref="DG203:DL203">DG171+DG173+DG180+DG196-DG172-DG174-DG181</f>
        <v>535.5600100000001</v>
      </c>
      <c r="DH203" s="305">
        <f t="shared" si="618"/>
        <v>535.57583</v>
      </c>
      <c r="DI203" s="303">
        <f t="shared" si="618"/>
        <v>532.94871</v>
      </c>
      <c r="DJ203" s="303">
        <f t="shared" si="618"/>
        <v>508.6204136</v>
      </c>
      <c r="DK203" s="303">
        <f t="shared" si="618"/>
        <v>590.7311499999997</v>
      </c>
      <c r="DL203" s="305">
        <f t="shared" si="618"/>
        <v>607.1655000000001</v>
      </c>
      <c r="DM203" s="303">
        <f aca="true" t="shared" si="619" ref="DM203:DR203">DM171+DM173+DM180+DM196-DM172-DM174-DM181</f>
        <v>423.51519</v>
      </c>
      <c r="DN203" s="303">
        <f t="shared" si="619"/>
        <v>611.9199500000001</v>
      </c>
      <c r="DO203" s="303">
        <f t="shared" si="619"/>
        <v>397.90725699999996</v>
      </c>
      <c r="DP203" s="305">
        <f t="shared" si="619"/>
        <v>635.0941939999999</v>
      </c>
      <c r="DQ203" s="303">
        <f t="shared" si="619"/>
        <v>443.07985500000007</v>
      </c>
      <c r="DR203" s="303">
        <f t="shared" si="619"/>
        <v>625.0677555</v>
      </c>
      <c r="DS203" s="303">
        <f>DS171+DS173+DS180+DS196-DS172-DS174-DS181</f>
        <v>628.3868999999999</v>
      </c>
    </row>
    <row r="204" spans="1:123" ht="15.75">
      <c r="A204" s="60"/>
      <c r="B204" s="60"/>
      <c r="C204" s="136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416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513"/>
      <c r="AP204" s="513"/>
      <c r="AQ204" s="513"/>
      <c r="AR204" s="513"/>
      <c r="AS204" s="513"/>
      <c r="AT204" s="513"/>
      <c r="AU204" s="513"/>
      <c r="AV204" s="561"/>
      <c r="AW204" s="561"/>
      <c r="AX204" s="561"/>
      <c r="AY204" s="561"/>
      <c r="AZ204" s="561"/>
      <c r="BA204" s="561"/>
      <c r="BB204" s="561"/>
      <c r="BC204" s="561"/>
      <c r="BD204" s="561"/>
      <c r="BE204" s="561"/>
      <c r="BF204" s="561"/>
      <c r="BG204" s="561"/>
      <c r="BH204" s="561"/>
      <c r="BI204" s="561"/>
      <c r="BJ204" s="561"/>
      <c r="BK204" s="513"/>
      <c r="BL204" s="136"/>
      <c r="BM204" s="137"/>
      <c r="BN204" s="137"/>
      <c r="BO204" s="137"/>
      <c r="CX204" s="445"/>
      <c r="CY204" s="445"/>
      <c r="CZ204" s="445"/>
      <c r="DA204" s="445"/>
      <c r="DB204" s="445"/>
      <c r="DC204" s="445"/>
      <c r="DD204" s="445"/>
      <c r="DE204" s="445"/>
      <c r="DF204" s="445"/>
      <c r="DG204" s="445"/>
      <c r="DH204" s="445"/>
      <c r="DI204" s="445"/>
      <c r="DJ204" s="445"/>
      <c r="DK204" s="445"/>
      <c r="DL204" s="445"/>
      <c r="DM204" s="445"/>
      <c r="DN204" s="445"/>
      <c r="DO204" s="445"/>
      <c r="DP204" s="445"/>
      <c r="DQ204" s="445"/>
      <c r="DR204" s="445"/>
      <c r="DS204" s="445"/>
    </row>
    <row r="205" spans="3:63" ht="15"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</row>
    <row r="206" spans="1:169" s="68" customFormat="1" ht="15.75">
      <c r="A206" s="654" t="s">
        <v>152</v>
      </c>
      <c r="B206" s="654" t="s">
        <v>153</v>
      </c>
      <c r="C206" s="664" t="s">
        <v>52</v>
      </c>
      <c r="D206" s="664"/>
      <c r="E206" s="664"/>
      <c r="F206" s="664"/>
      <c r="G206" s="664"/>
      <c r="H206" s="664"/>
      <c r="I206" s="664"/>
      <c r="J206" s="664"/>
      <c r="K206" s="664"/>
      <c r="L206" s="664"/>
      <c r="M206" s="664"/>
      <c r="N206" s="664"/>
      <c r="O206" s="664"/>
      <c r="P206" s="664"/>
      <c r="Q206" s="664"/>
      <c r="R206" s="664"/>
      <c r="S206" s="664"/>
      <c r="T206" s="664"/>
      <c r="U206" s="664"/>
      <c r="V206" s="664"/>
      <c r="W206" s="664"/>
      <c r="X206" s="664"/>
      <c r="Y206" s="664"/>
      <c r="Z206" s="664"/>
      <c r="AA206" s="664"/>
      <c r="AB206" s="664"/>
      <c r="AC206" s="664"/>
      <c r="AD206" s="664"/>
      <c r="AE206" s="664"/>
      <c r="AF206" s="664"/>
      <c r="AG206" s="664"/>
      <c r="AH206" s="664"/>
      <c r="AI206" s="664"/>
      <c r="AJ206" s="664"/>
      <c r="AK206" s="664"/>
      <c r="AL206" s="664"/>
      <c r="AM206" s="664"/>
      <c r="AN206" s="664"/>
      <c r="AO206" s="664"/>
      <c r="AP206" s="664"/>
      <c r="AQ206" s="664"/>
      <c r="AR206" s="664"/>
      <c r="AS206" s="664"/>
      <c r="AT206" s="664"/>
      <c r="AU206" s="664"/>
      <c r="AV206" s="664"/>
      <c r="AW206" s="664"/>
      <c r="AX206" s="664"/>
      <c r="AY206" s="664"/>
      <c r="AZ206" s="664"/>
      <c r="BA206" s="664"/>
      <c r="BB206" s="664"/>
      <c r="BC206" s="664"/>
      <c r="BD206" s="664"/>
      <c r="BE206" s="664"/>
      <c r="BF206" s="664"/>
      <c r="BG206" s="664"/>
      <c r="BH206" s="664"/>
      <c r="BI206" s="664"/>
      <c r="BJ206" s="664"/>
      <c r="BK206" s="517"/>
      <c r="BL206" s="656" t="s">
        <v>188</v>
      </c>
      <c r="BM206" s="656"/>
      <c r="BN206" s="656"/>
      <c r="BO206" s="656"/>
      <c r="BP206" s="656"/>
      <c r="BQ206" s="656"/>
      <c r="BR206" s="656"/>
      <c r="BS206" s="656"/>
      <c r="BT206" s="656"/>
      <c r="BU206" s="656"/>
      <c r="BV206" s="656"/>
      <c r="BW206" s="656"/>
      <c r="BX206" s="656"/>
      <c r="BY206" s="656"/>
      <c r="BZ206" s="656"/>
      <c r="CA206" s="656"/>
      <c r="CB206" s="656"/>
      <c r="CC206" s="656"/>
      <c r="CD206" s="656"/>
      <c r="CE206" s="656"/>
      <c r="CF206" s="656"/>
      <c r="CG206" s="656"/>
      <c r="CH206" s="656"/>
      <c r="CI206" s="656"/>
      <c r="CJ206" s="656"/>
      <c r="CK206" s="656"/>
      <c r="CL206" s="656"/>
      <c r="CM206" s="656"/>
      <c r="CN206" s="656"/>
      <c r="CO206" s="656"/>
      <c r="CP206" s="656"/>
      <c r="CQ206" s="656"/>
      <c r="CR206" s="656"/>
      <c r="CS206" s="656"/>
      <c r="CT206" s="656"/>
      <c r="CU206" s="656"/>
      <c r="CV206" s="656"/>
      <c r="CW206" s="656"/>
      <c r="CX206" s="656"/>
      <c r="CY206" s="656"/>
      <c r="CZ206" s="656"/>
      <c r="DA206" s="656"/>
      <c r="DB206" s="656"/>
      <c r="DC206" s="656"/>
      <c r="DD206" s="656"/>
      <c r="DE206" s="656"/>
      <c r="DF206" s="656"/>
      <c r="DG206" s="656"/>
      <c r="DH206" s="656"/>
      <c r="DI206" s="656"/>
      <c r="DJ206" s="656"/>
      <c r="DK206" s="656"/>
      <c r="DL206" s="656"/>
      <c r="DM206" s="656"/>
      <c r="DN206" s="656"/>
      <c r="DO206" s="656"/>
      <c r="DP206" s="656"/>
      <c r="DQ206" s="656"/>
      <c r="DR206" s="656"/>
      <c r="DS206" s="656"/>
      <c r="DT206" s="247"/>
      <c r="DU206" s="247"/>
      <c r="DV206" s="247"/>
      <c r="DW206" s="247"/>
      <c r="DX206" s="247"/>
      <c r="DY206" s="247"/>
      <c r="DZ206" s="247"/>
      <c r="EA206" s="247"/>
      <c r="EB206" s="247"/>
      <c r="EC206" s="247"/>
      <c r="ED206" s="247"/>
      <c r="EE206" s="247"/>
      <c r="EF206" s="247"/>
      <c r="EG206" s="247"/>
      <c r="EH206" s="247"/>
      <c r="EI206" s="247"/>
      <c r="EJ206" s="247"/>
      <c r="EK206" s="247"/>
      <c r="EL206" s="247"/>
      <c r="EM206" s="247"/>
      <c r="EN206" s="247"/>
      <c r="EO206" s="247"/>
      <c r="EP206" s="247"/>
      <c r="EQ206" s="247"/>
      <c r="ER206" s="247"/>
      <c r="ES206" s="247"/>
      <c r="ET206" s="247"/>
      <c r="EU206" s="247"/>
      <c r="EV206" s="247"/>
      <c r="EW206" s="247"/>
      <c r="EX206" s="247"/>
      <c r="EY206" s="247"/>
      <c r="EZ206" s="247"/>
      <c r="FA206" s="247"/>
      <c r="FB206" s="247"/>
      <c r="FC206" s="247"/>
      <c r="FD206" s="247"/>
      <c r="FE206" s="247"/>
      <c r="FF206" s="247"/>
      <c r="FG206" s="247"/>
      <c r="FH206" s="247"/>
      <c r="FI206" s="247"/>
      <c r="FJ206" s="247"/>
      <c r="FK206" s="247"/>
      <c r="FL206" s="247"/>
      <c r="FM206" s="247"/>
    </row>
    <row r="207" spans="1:169" s="68" customFormat="1" ht="15.75">
      <c r="A207" s="654"/>
      <c r="B207" s="654"/>
      <c r="C207" s="664" t="s">
        <v>54</v>
      </c>
      <c r="D207" s="664"/>
      <c r="E207" s="664"/>
      <c r="F207" s="664"/>
      <c r="G207" s="664"/>
      <c r="H207" s="664"/>
      <c r="I207" s="664"/>
      <c r="J207" s="664"/>
      <c r="K207" s="664"/>
      <c r="L207" s="664"/>
      <c r="M207" s="664"/>
      <c r="N207" s="664"/>
      <c r="O207" s="664"/>
      <c r="P207" s="664"/>
      <c r="Q207" s="664"/>
      <c r="R207" s="664"/>
      <c r="S207" s="664"/>
      <c r="T207" s="664"/>
      <c r="U207" s="664"/>
      <c r="V207" s="664"/>
      <c r="W207" s="664"/>
      <c r="X207" s="664"/>
      <c r="Y207" s="664"/>
      <c r="Z207" s="664"/>
      <c r="AA207" s="664"/>
      <c r="AB207" s="664"/>
      <c r="AC207" s="664"/>
      <c r="AD207" s="664"/>
      <c r="AE207" s="664"/>
      <c r="AF207" s="664"/>
      <c r="AG207" s="664"/>
      <c r="AH207" s="664"/>
      <c r="AI207" s="664"/>
      <c r="AJ207" s="664"/>
      <c r="AK207" s="664"/>
      <c r="AL207" s="664"/>
      <c r="AM207" s="664"/>
      <c r="AN207" s="664"/>
      <c r="AO207" s="664"/>
      <c r="AP207" s="664"/>
      <c r="AQ207" s="664"/>
      <c r="AR207" s="664"/>
      <c r="AS207" s="664"/>
      <c r="AT207" s="664"/>
      <c r="AU207" s="664"/>
      <c r="AV207" s="664"/>
      <c r="AW207" s="664"/>
      <c r="AX207" s="664"/>
      <c r="AY207" s="664"/>
      <c r="AZ207" s="664"/>
      <c r="BA207" s="664"/>
      <c r="BB207" s="664"/>
      <c r="BC207" s="664"/>
      <c r="BD207" s="664"/>
      <c r="BE207" s="664"/>
      <c r="BF207" s="664"/>
      <c r="BG207" s="664"/>
      <c r="BH207" s="664"/>
      <c r="BI207" s="664"/>
      <c r="BJ207" s="664"/>
      <c r="BK207" s="517"/>
      <c r="BL207" s="656" t="s">
        <v>180</v>
      </c>
      <c r="BM207" s="656"/>
      <c r="BN207" s="656"/>
      <c r="BO207" s="656"/>
      <c r="BP207" s="656"/>
      <c r="BQ207" s="656"/>
      <c r="BR207" s="656"/>
      <c r="BS207" s="656"/>
      <c r="BT207" s="656"/>
      <c r="BU207" s="656"/>
      <c r="BV207" s="656"/>
      <c r="BW207" s="656"/>
      <c r="BX207" s="656"/>
      <c r="BY207" s="656"/>
      <c r="BZ207" s="656"/>
      <c r="CA207" s="656"/>
      <c r="CB207" s="656"/>
      <c r="CC207" s="656"/>
      <c r="CD207" s="656"/>
      <c r="CE207" s="656"/>
      <c r="CF207" s="656"/>
      <c r="CG207" s="656"/>
      <c r="CH207" s="656"/>
      <c r="CI207" s="656"/>
      <c r="CJ207" s="656"/>
      <c r="CK207" s="656"/>
      <c r="CL207" s="656"/>
      <c r="CM207" s="656"/>
      <c r="CN207" s="656"/>
      <c r="CO207" s="656"/>
      <c r="CP207" s="656"/>
      <c r="CQ207" s="656"/>
      <c r="CR207" s="656"/>
      <c r="CS207" s="656"/>
      <c r="CT207" s="656"/>
      <c r="CU207" s="656"/>
      <c r="CV207" s="656"/>
      <c r="CW207" s="656"/>
      <c r="CX207" s="656"/>
      <c r="CY207" s="656"/>
      <c r="CZ207" s="656"/>
      <c r="DA207" s="656"/>
      <c r="DB207" s="656"/>
      <c r="DC207" s="656"/>
      <c r="DD207" s="656"/>
      <c r="DE207" s="656"/>
      <c r="DF207" s="656"/>
      <c r="DG207" s="656"/>
      <c r="DH207" s="656"/>
      <c r="DI207" s="656"/>
      <c r="DJ207" s="656"/>
      <c r="DK207" s="656"/>
      <c r="DL207" s="656"/>
      <c r="DM207" s="656"/>
      <c r="DN207" s="656"/>
      <c r="DO207" s="656"/>
      <c r="DP207" s="656"/>
      <c r="DQ207" s="656"/>
      <c r="DR207" s="656"/>
      <c r="DS207" s="656"/>
      <c r="DT207" s="247"/>
      <c r="DU207" s="247"/>
      <c r="DV207" s="247"/>
      <c r="DW207" s="247"/>
      <c r="DX207" s="247"/>
      <c r="DY207" s="247"/>
      <c r="DZ207" s="247"/>
      <c r="EA207" s="247"/>
      <c r="EB207" s="247"/>
      <c r="EC207" s="247"/>
      <c r="ED207" s="247"/>
      <c r="EE207" s="247"/>
      <c r="EF207" s="247"/>
      <c r="EG207" s="247"/>
      <c r="EH207" s="247"/>
      <c r="EI207" s="247"/>
      <c r="EJ207" s="247"/>
      <c r="EK207" s="247"/>
      <c r="EL207" s="247"/>
      <c r="EM207" s="247"/>
      <c r="EN207" s="247"/>
      <c r="EO207" s="247"/>
      <c r="EP207" s="247"/>
      <c r="EQ207" s="247"/>
      <c r="ER207" s="247"/>
      <c r="ES207" s="247"/>
      <c r="ET207" s="247"/>
      <c r="EU207" s="247"/>
      <c r="EV207" s="247"/>
      <c r="EW207" s="247"/>
      <c r="EX207" s="247"/>
      <c r="EY207" s="247"/>
      <c r="EZ207" s="247"/>
      <c r="FA207" s="247"/>
      <c r="FB207" s="247"/>
      <c r="FC207" s="247"/>
      <c r="FD207" s="247"/>
      <c r="FE207" s="247"/>
      <c r="FF207" s="247"/>
      <c r="FG207" s="247"/>
      <c r="FH207" s="247"/>
      <c r="FI207" s="247"/>
      <c r="FJ207" s="247"/>
      <c r="FK207" s="247"/>
      <c r="FL207" s="247"/>
      <c r="FM207" s="247"/>
    </row>
    <row r="208" spans="1:169" s="68" customFormat="1" ht="15.75">
      <c r="A208" s="96" t="s">
        <v>55</v>
      </c>
      <c r="B208" s="96" t="s">
        <v>53</v>
      </c>
      <c r="C208" s="371" t="s">
        <v>108</v>
      </c>
      <c r="D208" s="371" t="s">
        <v>109</v>
      </c>
      <c r="E208" s="371" t="s">
        <v>110</v>
      </c>
      <c r="F208" s="371" t="s">
        <v>111</v>
      </c>
      <c r="G208" s="371" t="s">
        <v>107</v>
      </c>
      <c r="H208" s="371" t="s">
        <v>140</v>
      </c>
      <c r="I208" s="371" t="s">
        <v>141</v>
      </c>
      <c r="J208" s="371" t="s">
        <v>143</v>
      </c>
      <c r="K208" s="371" t="s">
        <v>144</v>
      </c>
      <c r="L208" s="371" t="s">
        <v>145</v>
      </c>
      <c r="M208" s="371" t="s">
        <v>146</v>
      </c>
      <c r="N208" s="371" t="s">
        <v>147</v>
      </c>
      <c r="O208" s="371" t="s">
        <v>148</v>
      </c>
      <c r="P208" s="371" t="s">
        <v>149</v>
      </c>
      <c r="Q208" s="371" t="s">
        <v>151</v>
      </c>
      <c r="R208" s="371" t="s">
        <v>158</v>
      </c>
      <c r="S208" s="371" t="s">
        <v>164</v>
      </c>
      <c r="T208" s="371" t="s">
        <v>165</v>
      </c>
      <c r="U208" s="371" t="s">
        <v>166</v>
      </c>
      <c r="V208" s="371" t="s">
        <v>167</v>
      </c>
      <c r="W208" s="371" t="s">
        <v>196</v>
      </c>
      <c r="X208" s="371" t="s">
        <v>198</v>
      </c>
      <c r="Y208" s="371" t="s">
        <v>200</v>
      </c>
      <c r="Z208" s="371" t="s">
        <v>202</v>
      </c>
      <c r="AA208" s="371" t="s">
        <v>207</v>
      </c>
      <c r="AB208" s="371" t="s">
        <v>209</v>
      </c>
      <c r="AC208" s="371" t="s">
        <v>210</v>
      </c>
      <c r="AD208" s="371" t="s">
        <v>211</v>
      </c>
      <c r="AE208" s="371" t="s">
        <v>215</v>
      </c>
      <c r="AF208" s="371" t="s">
        <v>216</v>
      </c>
      <c r="AG208" s="328" t="s">
        <v>220</v>
      </c>
      <c r="AH208" s="328" t="s">
        <v>225</v>
      </c>
      <c r="AI208" s="371" t="s">
        <v>230</v>
      </c>
      <c r="AJ208" s="371" t="s">
        <v>232</v>
      </c>
      <c r="AK208" s="328" t="s">
        <v>237</v>
      </c>
      <c r="AL208" s="328" t="s">
        <v>239</v>
      </c>
      <c r="AM208" s="371" t="s">
        <v>246</v>
      </c>
      <c r="AN208" s="371" t="s">
        <v>247</v>
      </c>
      <c r="AO208" s="371" t="s">
        <v>249</v>
      </c>
      <c r="AP208" s="556" t="s">
        <v>251</v>
      </c>
      <c r="AQ208" s="557" t="s">
        <v>254</v>
      </c>
      <c r="AR208" s="371" t="s">
        <v>257</v>
      </c>
      <c r="AS208" s="371" t="s">
        <v>259</v>
      </c>
      <c r="AT208" s="371" t="s">
        <v>261</v>
      </c>
      <c r="AU208" s="557" t="s">
        <v>263</v>
      </c>
      <c r="AV208" s="371" t="s">
        <v>264</v>
      </c>
      <c r="AW208" s="328" t="s">
        <v>266</v>
      </c>
      <c r="AX208" s="595" t="s">
        <v>268</v>
      </c>
      <c r="AY208" s="330" t="s">
        <v>274</v>
      </c>
      <c r="AZ208" s="371" t="s">
        <v>275</v>
      </c>
      <c r="BA208" s="328" t="s">
        <v>277</v>
      </c>
      <c r="BB208" s="328" t="s">
        <v>279</v>
      </c>
      <c r="BC208" s="330" t="s">
        <v>281</v>
      </c>
      <c r="BD208" s="371" t="s">
        <v>282</v>
      </c>
      <c r="BE208" s="371" t="s">
        <v>286</v>
      </c>
      <c r="BF208" s="328" t="s">
        <v>291</v>
      </c>
      <c r="BG208" s="330" t="s">
        <v>293</v>
      </c>
      <c r="BH208" s="371" t="s">
        <v>294</v>
      </c>
      <c r="BI208" s="371" t="s">
        <v>296</v>
      </c>
      <c r="BJ208" s="371" t="s">
        <v>310</v>
      </c>
      <c r="BK208" s="517"/>
      <c r="BL208" s="332" t="s">
        <v>108</v>
      </c>
      <c r="BM208" s="332" t="s">
        <v>109</v>
      </c>
      <c r="BN208" s="332" t="s">
        <v>110</v>
      </c>
      <c r="BO208" s="403" t="s">
        <v>111</v>
      </c>
      <c r="BP208" s="334" t="s">
        <v>107</v>
      </c>
      <c r="BQ208" s="332" t="s">
        <v>140</v>
      </c>
      <c r="BR208" s="332" t="s">
        <v>141</v>
      </c>
      <c r="BS208" s="403" t="s">
        <v>143</v>
      </c>
      <c r="BT208" s="334" t="s">
        <v>144</v>
      </c>
      <c r="BU208" s="332" t="s">
        <v>145</v>
      </c>
      <c r="BV208" s="332" t="s">
        <v>146</v>
      </c>
      <c r="BW208" s="333" t="s">
        <v>147</v>
      </c>
      <c r="BX208" s="334" t="s">
        <v>148</v>
      </c>
      <c r="BY208" s="332" t="s">
        <v>149</v>
      </c>
      <c r="BZ208" s="332" t="s">
        <v>151</v>
      </c>
      <c r="CA208" s="332" t="s">
        <v>158</v>
      </c>
      <c r="CB208" s="334" t="s">
        <v>164</v>
      </c>
      <c r="CC208" s="332" t="s">
        <v>165</v>
      </c>
      <c r="CD208" s="332" t="s">
        <v>166</v>
      </c>
      <c r="CE208" s="332" t="s">
        <v>167</v>
      </c>
      <c r="CF208" s="334" t="s">
        <v>196</v>
      </c>
      <c r="CG208" s="332" t="s">
        <v>198</v>
      </c>
      <c r="CH208" s="332" t="s">
        <v>200</v>
      </c>
      <c r="CI208" s="332" t="s">
        <v>202</v>
      </c>
      <c r="CJ208" s="334" t="s">
        <v>207</v>
      </c>
      <c r="CK208" s="332" t="s">
        <v>209</v>
      </c>
      <c r="CL208" s="332" t="s">
        <v>210</v>
      </c>
      <c r="CM208" s="403" t="s">
        <v>211</v>
      </c>
      <c r="CN208" s="334" t="s">
        <v>215</v>
      </c>
      <c r="CO208" s="332" t="s">
        <v>216</v>
      </c>
      <c r="CP208" s="332" t="s">
        <v>220</v>
      </c>
      <c r="CQ208" s="332" t="s">
        <v>225</v>
      </c>
      <c r="CR208" s="469" t="s">
        <v>230</v>
      </c>
      <c r="CS208" s="332" t="s">
        <v>232</v>
      </c>
      <c r="CT208" s="332" t="s">
        <v>237</v>
      </c>
      <c r="CU208" s="332" t="s">
        <v>239</v>
      </c>
      <c r="CV208" s="334" t="s">
        <v>246</v>
      </c>
      <c r="CW208" s="332" t="s">
        <v>247</v>
      </c>
      <c r="CX208" s="332" t="s">
        <v>249</v>
      </c>
      <c r="CY208" s="332" t="s">
        <v>251</v>
      </c>
      <c r="CZ208" s="334" t="s">
        <v>254</v>
      </c>
      <c r="DA208" s="332" t="s">
        <v>257</v>
      </c>
      <c r="DB208" s="332" t="s">
        <v>259</v>
      </c>
      <c r="DC208" s="332" t="s">
        <v>261</v>
      </c>
      <c r="DD208" s="334" t="s">
        <v>263</v>
      </c>
      <c r="DE208" s="332" t="s">
        <v>264</v>
      </c>
      <c r="DF208" s="332" t="s">
        <v>266</v>
      </c>
      <c r="DG208" s="332" t="s">
        <v>268</v>
      </c>
      <c r="DH208" s="334" t="s">
        <v>274</v>
      </c>
      <c r="DI208" s="332" t="s">
        <v>275</v>
      </c>
      <c r="DJ208" s="332" t="s">
        <v>277</v>
      </c>
      <c r="DK208" s="332" t="s">
        <v>279</v>
      </c>
      <c r="DL208" s="334" t="s">
        <v>281</v>
      </c>
      <c r="DM208" s="332" t="s">
        <v>282</v>
      </c>
      <c r="DN208" s="332" t="s">
        <v>286</v>
      </c>
      <c r="DO208" s="332" t="s">
        <v>291</v>
      </c>
      <c r="DP208" s="334" t="s">
        <v>293</v>
      </c>
      <c r="DQ208" s="332" t="s">
        <v>294</v>
      </c>
      <c r="DR208" s="332" t="s">
        <v>296</v>
      </c>
      <c r="DS208" s="332" t="s">
        <v>309</v>
      </c>
      <c r="DT208" s="247"/>
      <c r="DU208" s="247"/>
      <c r="DV208" s="247"/>
      <c r="DW208" s="247"/>
      <c r="DX208" s="247"/>
      <c r="DY208" s="247"/>
      <c r="DZ208" s="247"/>
      <c r="EA208" s="247"/>
      <c r="EB208" s="247"/>
      <c r="EC208" s="247"/>
      <c r="ED208" s="247"/>
      <c r="EE208" s="247"/>
      <c r="EF208" s="247"/>
      <c r="EG208" s="247"/>
      <c r="EH208" s="247"/>
      <c r="EI208" s="247"/>
      <c r="EJ208" s="247"/>
      <c r="EK208" s="247"/>
      <c r="EL208" s="247"/>
      <c r="EM208" s="247"/>
      <c r="EN208" s="247"/>
      <c r="EO208" s="247"/>
      <c r="EP208" s="247"/>
      <c r="EQ208" s="247"/>
      <c r="ER208" s="247"/>
      <c r="ES208" s="247"/>
      <c r="ET208" s="247"/>
      <c r="EU208" s="247"/>
      <c r="EV208" s="247"/>
      <c r="EW208" s="247"/>
      <c r="EX208" s="247"/>
      <c r="EY208" s="247"/>
      <c r="EZ208" s="247"/>
      <c r="FA208" s="247"/>
      <c r="FB208" s="247"/>
      <c r="FC208" s="247"/>
      <c r="FD208" s="247"/>
      <c r="FE208" s="247"/>
      <c r="FF208" s="247"/>
      <c r="FG208" s="247"/>
      <c r="FH208" s="247"/>
      <c r="FI208" s="247"/>
      <c r="FJ208" s="247"/>
      <c r="FK208" s="247"/>
      <c r="FL208" s="247"/>
      <c r="FM208" s="247"/>
    </row>
    <row r="209" spans="1:125" ht="15.75">
      <c r="A209" s="98" t="s">
        <v>154</v>
      </c>
      <c r="B209" s="98" t="s">
        <v>155</v>
      </c>
      <c r="C209" s="359"/>
      <c r="D209" s="359"/>
      <c r="E209" s="359"/>
      <c r="F209" s="360"/>
      <c r="G209" s="361"/>
      <c r="H209" s="359"/>
      <c r="I209" s="359"/>
      <c r="J209" s="360"/>
      <c r="K209" s="355"/>
      <c r="L209" s="356"/>
      <c r="M209" s="356"/>
      <c r="N209" s="362"/>
      <c r="O209" s="74"/>
      <c r="P209" s="75">
        <v>0</v>
      </c>
      <c r="Q209" s="75">
        <v>0</v>
      </c>
      <c r="R209" s="75">
        <f>-Q209-P209-O209+Annually!J219</f>
        <v>21.051</v>
      </c>
      <c r="S209" s="74">
        <v>105.24</v>
      </c>
      <c r="T209" s="75">
        <v>160.667</v>
      </c>
      <c r="U209" s="75">
        <v>178.412</v>
      </c>
      <c r="V209" s="75">
        <v>197.306</v>
      </c>
      <c r="W209" s="74">
        <v>214.9</v>
      </c>
      <c r="X209" s="75">
        <v>205.172</v>
      </c>
      <c r="Y209" s="75">
        <v>210.436</v>
      </c>
      <c r="Z209" s="75">
        <f>Annually!L219-Quarterly!Y209-Quarterly!X209-Quarterly!W209</f>
        <v>260.49299999999994</v>
      </c>
      <c r="AA209" s="74">
        <v>270.317</v>
      </c>
      <c r="AB209" s="75">
        <v>286.70799999999997</v>
      </c>
      <c r="AC209" s="75">
        <v>273.85800000000006</v>
      </c>
      <c r="AD209" s="75">
        <v>304.349</v>
      </c>
      <c r="AE209" s="74">
        <v>289.403</v>
      </c>
      <c r="AF209" s="75">
        <v>294.119</v>
      </c>
      <c r="AG209" s="75">
        <v>242.495</v>
      </c>
      <c r="AH209" s="75">
        <f>Annually!N219-AG209-AF209-AE209</f>
        <v>316.41599999999994</v>
      </c>
      <c r="AI209" s="376">
        <v>225.703</v>
      </c>
      <c r="AJ209" s="75">
        <v>318.003</v>
      </c>
      <c r="AK209" s="75">
        <v>326.828</v>
      </c>
      <c r="AL209" s="75">
        <f>Annually!O219-AK209-AJ209-AI209</f>
        <v>296.53200000000015</v>
      </c>
      <c r="AM209" s="376">
        <v>311.637</v>
      </c>
      <c r="AN209" s="75">
        <v>307.625</v>
      </c>
      <c r="AO209" s="75">
        <v>288.105</v>
      </c>
      <c r="AP209" s="75">
        <f>Annually!P219-AO209-AN209-AM209</f>
        <v>306.21199999999993</v>
      </c>
      <c r="AQ209" s="74">
        <v>258.057</v>
      </c>
      <c r="AR209" s="75">
        <v>224.356</v>
      </c>
      <c r="AS209" s="75">
        <v>300.308</v>
      </c>
      <c r="AT209" s="75">
        <f>Annually!Q219-AS209-AR209-AQ209</f>
        <v>301.77</v>
      </c>
      <c r="AU209" s="74">
        <v>255.53</v>
      </c>
      <c r="AV209" s="75">
        <v>282.549</v>
      </c>
      <c r="AW209" s="75">
        <v>309.98</v>
      </c>
      <c r="AX209" s="272">
        <f>Annually!R219-AW209-AV209-AU209</f>
        <v>334.35799999999995</v>
      </c>
      <c r="AY209" s="74">
        <v>312.92</v>
      </c>
      <c r="AZ209" s="75">
        <v>308.276</v>
      </c>
      <c r="BA209" s="75">
        <v>314.399</v>
      </c>
      <c r="BB209" s="75">
        <v>319.47499999999997</v>
      </c>
      <c r="BC209" s="74">
        <v>294.243</v>
      </c>
      <c r="BD209" s="75">
        <v>272.02799999999996</v>
      </c>
      <c r="BE209" s="75">
        <v>313.874</v>
      </c>
      <c r="BF209" s="75">
        <f>Annually!T219-BC209-BD209-BE209</f>
        <v>290.2350000000001</v>
      </c>
      <c r="BG209" s="74">
        <v>306.969</v>
      </c>
      <c r="BH209" s="75">
        <v>297.406</v>
      </c>
      <c r="BI209" s="75">
        <v>275.742</v>
      </c>
      <c r="BJ209" s="75">
        <f>Annually!U219-BG209-BH209-BI209</f>
        <v>284.06200000000007</v>
      </c>
      <c r="BK209" s="520"/>
      <c r="BL209" s="77"/>
      <c r="BM209" s="77"/>
      <c r="BN209" s="77"/>
      <c r="BO209" s="429"/>
      <c r="BP209" s="79"/>
      <c r="BQ209" s="80"/>
      <c r="BR209" s="80"/>
      <c r="BS209" s="432"/>
      <c r="BT209" s="82"/>
      <c r="BU209" s="83"/>
      <c r="BV209" s="83"/>
      <c r="BW209" s="191"/>
      <c r="BX209" s="206">
        <v>0</v>
      </c>
      <c r="BY209" s="207">
        <v>0</v>
      </c>
      <c r="BZ209" s="207">
        <v>0</v>
      </c>
      <c r="CA209" s="83">
        <f>-BZ209-BY209-BX209+Annually!AE219</f>
        <v>21.051</v>
      </c>
      <c r="CB209" s="206">
        <f>CB210</f>
        <v>108.32</v>
      </c>
      <c r="CC209" s="207">
        <f>CC210</f>
        <v>160.408</v>
      </c>
      <c r="CD209" s="207">
        <f>7.61345+CD210</f>
        <v>174.90465</v>
      </c>
      <c r="CE209" s="83">
        <f>3.9+CE210</f>
        <v>197.794</v>
      </c>
      <c r="CF209" s="206">
        <f>19.45145+3.9+CF210</f>
        <v>214.20555</v>
      </c>
      <c r="CG209" s="207">
        <f>14.27775+CG210</f>
        <v>206.99304</v>
      </c>
      <c r="CH209" s="207">
        <f>38.8906+CH210</f>
        <v>215.40331999999998</v>
      </c>
      <c r="CI209" s="83">
        <f>Annually!AG219-Quarterly!CH209-Quarterly!CG209-Quarterly!CF209</f>
        <v>260.76108999999997</v>
      </c>
      <c r="CJ209" s="206">
        <f>60.7719+CJ210</f>
        <v>266.3199</v>
      </c>
      <c r="CK209" s="207">
        <f>107.544+CK210</f>
        <v>274.565</v>
      </c>
      <c r="CL209" s="207">
        <f>91.08976+CL210</f>
        <v>290.38215</v>
      </c>
      <c r="CM209" s="415">
        <f>96.57315+CM210</f>
        <v>299.58705</v>
      </c>
      <c r="CN209" s="206">
        <f>69.289+CN210</f>
        <v>288.844</v>
      </c>
      <c r="CO209" s="207">
        <f>111.269509+CO210</f>
        <v>296.332459</v>
      </c>
      <c r="CP209" s="207">
        <f>49.826+CP210</f>
        <v>237.7222</v>
      </c>
      <c r="CQ209" s="83">
        <f>Annually!AI219-CP209-CO209-CN209</f>
        <v>319.77860100000004</v>
      </c>
      <c r="CR209" s="484">
        <v>228.616</v>
      </c>
      <c r="CS209" s="207">
        <v>311.998</v>
      </c>
      <c r="CT209" s="207">
        <v>304.4850000000001</v>
      </c>
      <c r="CU209" s="83">
        <f>Annually!AJ219-CT209-CS209-CR209</f>
        <v>312.56034999999974</v>
      </c>
      <c r="CV209" s="206">
        <v>314.235</v>
      </c>
      <c r="CW209" s="207">
        <v>304.02065</v>
      </c>
      <c r="CX209" s="207">
        <v>297.8208</v>
      </c>
      <c r="CY209" s="207">
        <f>Annually!AK219-CX209-CW209-CV209</f>
        <v>300.66305</v>
      </c>
      <c r="CZ209" s="206">
        <v>256.334</v>
      </c>
      <c r="DA209" s="207">
        <v>235.507</v>
      </c>
      <c r="DB209" s="207">
        <v>298.918</v>
      </c>
      <c r="DC209" s="207">
        <f>Annually!AL219-DB209-DA209-CZ209</f>
        <v>288.1620000000001</v>
      </c>
      <c r="DD209" s="484">
        <v>271.69</v>
      </c>
      <c r="DE209" s="207">
        <v>284.525</v>
      </c>
      <c r="DF209" s="207">
        <v>313.5124</v>
      </c>
      <c r="DG209" s="207">
        <f>Annually!AM219-DF209-DE209-DD209</f>
        <v>321.17875</v>
      </c>
      <c r="DH209" s="206">
        <v>306.7251</v>
      </c>
      <c r="DI209" s="207">
        <v>315.749</v>
      </c>
      <c r="DJ209" s="207">
        <v>308.28845</v>
      </c>
      <c r="DK209" s="207">
        <v>318.0847</v>
      </c>
      <c r="DL209" s="206">
        <v>290.99815</v>
      </c>
      <c r="DM209" s="207">
        <v>283.42465</v>
      </c>
      <c r="DN209" s="207">
        <v>309.96495</v>
      </c>
      <c r="DO209" s="207">
        <f>Annually!AO219-DN209-DM209-DL209</f>
        <v>278.42420000000027</v>
      </c>
      <c r="DP209" s="206">
        <v>308.71775</v>
      </c>
      <c r="DQ209" s="207">
        <v>299.40225</v>
      </c>
      <c r="DR209" s="207">
        <v>291.83185000000003</v>
      </c>
      <c r="DS209" s="207">
        <f>Annually!AP219-DR209-DQ209-DP209</f>
        <v>265.71614999999986</v>
      </c>
      <c r="DU209" s="63"/>
    </row>
    <row r="210" spans="1:169" s="129" customFormat="1" ht="15">
      <c r="A210" s="100" t="s">
        <v>104</v>
      </c>
      <c r="B210" s="100" t="s">
        <v>93</v>
      </c>
      <c r="C210" s="363"/>
      <c r="D210" s="363"/>
      <c r="E210" s="363"/>
      <c r="F210" s="364"/>
      <c r="G210" s="365"/>
      <c r="H210" s="363"/>
      <c r="I210" s="363"/>
      <c r="J210" s="364"/>
      <c r="K210" s="357"/>
      <c r="L210" s="358"/>
      <c r="M210" s="358"/>
      <c r="N210" s="366"/>
      <c r="O210" s="180"/>
      <c r="P210" s="181"/>
      <c r="Q210" s="181"/>
      <c r="R210" s="181"/>
      <c r="S210" s="180"/>
      <c r="T210" s="181"/>
      <c r="U210" s="181"/>
      <c r="V210" s="181"/>
      <c r="W210" s="180"/>
      <c r="X210" s="181"/>
      <c r="Y210" s="181"/>
      <c r="Z210" s="181"/>
      <c r="AA210" s="180"/>
      <c r="AB210" s="181"/>
      <c r="AC210" s="181"/>
      <c r="AD210" s="181"/>
      <c r="AE210" s="180"/>
      <c r="AF210" s="181"/>
      <c r="AG210" s="181"/>
      <c r="AH210" s="181"/>
      <c r="AI210" s="467"/>
      <c r="AJ210" s="181"/>
      <c r="AK210" s="181"/>
      <c r="AL210" s="181"/>
      <c r="AM210" s="467"/>
      <c r="AN210" s="181"/>
      <c r="AO210" s="181"/>
      <c r="AP210" s="181"/>
      <c r="AQ210" s="180"/>
      <c r="AR210" s="181"/>
      <c r="AS210" s="181"/>
      <c r="AT210" s="181"/>
      <c r="AU210" s="180"/>
      <c r="AV210" s="181"/>
      <c r="AW210" s="181"/>
      <c r="AX210" s="273"/>
      <c r="AY210" s="180"/>
      <c r="AZ210" s="181"/>
      <c r="BA210" s="181"/>
      <c r="BB210" s="181"/>
      <c r="BC210" s="180"/>
      <c r="BD210" s="181"/>
      <c r="BE210" s="181"/>
      <c r="BF210" s="181"/>
      <c r="BG210" s="180"/>
      <c r="BH210" s="181"/>
      <c r="BI210" s="181"/>
      <c r="BJ210" s="181"/>
      <c r="BK210" s="521"/>
      <c r="BL210" s="145"/>
      <c r="BM210" s="145"/>
      <c r="BN210" s="145"/>
      <c r="BO210" s="430"/>
      <c r="BP210" s="147"/>
      <c r="BQ210" s="148"/>
      <c r="BR210" s="148"/>
      <c r="BS210" s="433"/>
      <c r="BT210" s="150"/>
      <c r="BU210" s="151"/>
      <c r="BV210" s="151"/>
      <c r="BW210" s="192"/>
      <c r="BX210" s="193"/>
      <c r="BY210" s="194"/>
      <c r="BZ210" s="194"/>
      <c r="CA210" s="151">
        <f>CA209</f>
        <v>21.051</v>
      </c>
      <c r="CB210" s="435">
        <v>108.32</v>
      </c>
      <c r="CC210" s="436">
        <v>160.408</v>
      </c>
      <c r="CD210" s="436">
        <v>167.2912</v>
      </c>
      <c r="CE210" s="151">
        <v>193.894</v>
      </c>
      <c r="CF210" s="435">
        <v>190.8541</v>
      </c>
      <c r="CG210" s="436">
        <v>192.71529</v>
      </c>
      <c r="CH210" s="436">
        <v>176.51271999999997</v>
      </c>
      <c r="CI210" s="151">
        <f>Annually!AG220-Quarterly!CH210-Quarterly!CG210-Quarterly!CF210</f>
        <v>157.52089000000004</v>
      </c>
      <c r="CJ210" s="435">
        <v>205.548</v>
      </c>
      <c r="CK210" s="436">
        <v>167.02100000000002</v>
      </c>
      <c r="CL210" s="436">
        <v>199.29239</v>
      </c>
      <c r="CM210" s="437">
        <v>203.0139</v>
      </c>
      <c r="CN210" s="435">
        <v>219.555</v>
      </c>
      <c r="CO210" s="436">
        <v>185.06295</v>
      </c>
      <c r="CP210" s="436">
        <v>187.8962</v>
      </c>
      <c r="CQ210" s="436">
        <f>Annually!AI220-CP210-CO210-CN210</f>
        <v>210.7036</v>
      </c>
      <c r="CR210" s="485">
        <v>220.49465</v>
      </c>
      <c r="CS210" s="436">
        <v>228.293</v>
      </c>
      <c r="CT210" s="436">
        <v>220.34135</v>
      </c>
      <c r="CU210" s="436">
        <f>Annually!AJ220-CT210-CS210-CR210</f>
        <v>229.01859999999996</v>
      </c>
      <c r="CV210" s="435">
        <v>252.678</v>
      </c>
      <c r="CW210" s="436">
        <v>212.3256</v>
      </c>
      <c r="CX210" s="436">
        <v>228.656</v>
      </c>
      <c r="CY210" s="319">
        <f>Annually!AK220-CX210-CW210-CV210</f>
        <v>256.3434</v>
      </c>
      <c r="CZ210" s="435">
        <v>223.291</v>
      </c>
      <c r="DA210" s="436">
        <v>169.251</v>
      </c>
      <c r="DB210" s="436">
        <v>210.676</v>
      </c>
      <c r="DC210" s="319">
        <f>Annually!AL220-DB210-DA210-CZ210</f>
        <v>189.06975000000006</v>
      </c>
      <c r="DD210" s="485">
        <v>208.992</v>
      </c>
      <c r="DE210" s="436">
        <v>223.788</v>
      </c>
      <c r="DF210" s="436">
        <v>251.43984999999995</v>
      </c>
      <c r="DG210" s="436">
        <f>Annually!AM220-DF210-DE210-DD210</f>
        <v>215.49845000000025</v>
      </c>
      <c r="DH210" s="435">
        <v>238.1583</v>
      </c>
      <c r="DI210" s="436">
        <v>239.5722</v>
      </c>
      <c r="DJ210" s="436">
        <f>140.63685+85.6274</f>
        <v>226.26425</v>
      </c>
      <c r="DK210" s="436">
        <v>246.12935000000004</v>
      </c>
      <c r="DL210" s="435">
        <v>226.1146</v>
      </c>
      <c r="DM210" s="436">
        <v>240.54130000000004</v>
      </c>
      <c r="DN210" s="436">
        <v>244.09165</v>
      </c>
      <c r="DO210" s="436">
        <f>Annually!AO220-DN210-DM210-DL210</f>
        <v>220.08030000000002</v>
      </c>
      <c r="DP210" s="435">
        <v>250.38245</v>
      </c>
      <c r="DQ210" s="436">
        <v>272.03815</v>
      </c>
      <c r="DR210" s="436">
        <v>268.50584999999995</v>
      </c>
      <c r="DS210" s="436">
        <f>Annually!AP220-DR210-DQ210-DP210</f>
        <v>246.19735000000009</v>
      </c>
      <c r="DT210" s="156"/>
      <c r="DU210" s="156"/>
      <c r="DV210" s="156"/>
      <c r="DW210" s="156"/>
      <c r="DX210" s="156"/>
      <c r="DY210" s="156"/>
      <c r="DZ210" s="156"/>
      <c r="EA210" s="156"/>
      <c r="EB210" s="156"/>
      <c r="EC210" s="156"/>
      <c r="ED210" s="156"/>
      <c r="EE210" s="156"/>
      <c r="EF210" s="156"/>
      <c r="EG210" s="127"/>
      <c r="EH210" s="127"/>
      <c r="EI210" s="493"/>
      <c r="EJ210" s="156"/>
      <c r="EK210" s="156"/>
      <c r="EL210" s="156"/>
      <c r="EM210" s="156"/>
      <c r="EN210" s="156"/>
      <c r="EO210" s="156"/>
      <c r="EP210" s="156"/>
      <c r="EQ210" s="156"/>
      <c r="ER210" s="156"/>
      <c r="ES210" s="156"/>
      <c r="ET210" s="156"/>
      <c r="EU210" s="156"/>
      <c r="EV210" s="156"/>
      <c r="EW210" s="156"/>
      <c r="EX210" s="156"/>
      <c r="EY210" s="156"/>
      <c r="EZ210" s="156"/>
      <c r="FA210" s="127"/>
      <c r="FB210" s="156"/>
      <c r="FC210" s="156"/>
      <c r="FD210" s="156"/>
      <c r="FE210" s="156"/>
      <c r="FF210" s="156"/>
      <c r="FG210" s="156"/>
      <c r="FH210" s="156"/>
      <c r="FI210" s="156"/>
      <c r="FJ210" s="156"/>
      <c r="FK210" s="156"/>
      <c r="FL210" s="156"/>
      <c r="FM210" s="156"/>
    </row>
    <row r="211" spans="1:125" ht="15.75">
      <c r="A211" s="70" t="s">
        <v>157</v>
      </c>
      <c r="B211" s="70" t="s">
        <v>156</v>
      </c>
      <c r="C211" s="359"/>
      <c r="D211" s="359"/>
      <c r="E211" s="359"/>
      <c r="F211" s="360"/>
      <c r="G211" s="361"/>
      <c r="H211" s="359"/>
      <c r="I211" s="359"/>
      <c r="J211" s="360"/>
      <c r="K211" s="355"/>
      <c r="L211" s="356"/>
      <c r="M211" s="356"/>
      <c r="N211" s="362"/>
      <c r="O211" s="74"/>
      <c r="P211" s="75">
        <v>478.008</v>
      </c>
      <c r="Q211" s="75">
        <v>366.123</v>
      </c>
      <c r="R211" s="75">
        <f>-Q211-P211-O211+Annually!J221</f>
        <v>394.3860000000001</v>
      </c>
      <c r="S211" s="74">
        <v>767.687</v>
      </c>
      <c r="T211" s="75">
        <v>948.33</v>
      </c>
      <c r="U211" s="75">
        <v>779.112</v>
      </c>
      <c r="V211" s="75">
        <v>667.359</v>
      </c>
      <c r="W211" s="74">
        <v>743.811</v>
      </c>
      <c r="X211" s="75">
        <v>785.9409999999999</v>
      </c>
      <c r="Y211" s="75">
        <v>753.2400000000004</v>
      </c>
      <c r="Z211" s="75">
        <f>Annually!L221-Quarterly!Y211-Quarterly!X211-Quarterly!W211</f>
        <v>850.7399999999999</v>
      </c>
      <c r="AA211" s="74">
        <v>1132.59</v>
      </c>
      <c r="AB211" s="75">
        <v>1468.068</v>
      </c>
      <c r="AC211" s="75">
        <v>1158.798</v>
      </c>
      <c r="AD211" s="75">
        <v>1046.364</v>
      </c>
      <c r="AE211" s="74">
        <v>1213.575</v>
      </c>
      <c r="AF211" s="75">
        <v>1185.804</v>
      </c>
      <c r="AG211" s="75">
        <v>962.625</v>
      </c>
      <c r="AH211" s="75">
        <f>Annually!N221-AG211-AF211-AE211</f>
        <v>996.9719999999995</v>
      </c>
      <c r="AI211" s="376">
        <v>1015.422</v>
      </c>
      <c r="AJ211" s="75">
        <v>1629.192</v>
      </c>
      <c r="AK211" s="75">
        <v>957.393</v>
      </c>
      <c r="AL211" s="75">
        <f>Annually!O221-AK211-AJ211-AI211</f>
        <v>903.9929999999999</v>
      </c>
      <c r="AM211" s="376">
        <v>1238.485</v>
      </c>
      <c r="AN211" s="75">
        <v>860.121</v>
      </c>
      <c r="AO211" s="75">
        <v>954.186</v>
      </c>
      <c r="AP211" s="75">
        <f>Annually!P221-AO211-AN211-AM211</f>
        <v>1428.6849999999997</v>
      </c>
      <c r="AQ211" s="74">
        <v>1157.955</v>
      </c>
      <c r="AR211" s="75">
        <v>905.922</v>
      </c>
      <c r="AS211" s="75">
        <v>1296.621</v>
      </c>
      <c r="AT211" s="75">
        <f>Annually!Q221-AS211-AR211-AQ211</f>
        <v>1340.1600000000003</v>
      </c>
      <c r="AU211" s="74">
        <v>1083.954</v>
      </c>
      <c r="AV211" s="75">
        <v>1202.868</v>
      </c>
      <c r="AW211" s="75">
        <v>1679.301</v>
      </c>
      <c r="AX211" s="272">
        <f>Annually!R221-AW211-AV211-AU211</f>
        <v>1651.251</v>
      </c>
      <c r="AY211" s="74">
        <v>1976.951</v>
      </c>
      <c r="AZ211" s="75">
        <v>1559.501</v>
      </c>
      <c r="BA211" s="75">
        <v>1727.373</v>
      </c>
      <c r="BB211" s="75">
        <v>1334.174</v>
      </c>
      <c r="BC211" s="74">
        <v>1370.29</v>
      </c>
      <c r="BD211" s="75">
        <v>1483.87</v>
      </c>
      <c r="BE211" s="75">
        <v>1128.505</v>
      </c>
      <c r="BF211" s="75">
        <f>Annually!T221-BC211-BD211-BE211</f>
        <v>1113.0470000000005</v>
      </c>
      <c r="BG211" s="74">
        <v>1171.585</v>
      </c>
      <c r="BH211" s="75">
        <v>1180.172</v>
      </c>
      <c r="BI211" s="75">
        <v>1621.588</v>
      </c>
      <c r="BJ211" s="75">
        <f>Annually!U221-BG211-BH211-BI211</f>
        <v>1480.619</v>
      </c>
      <c r="BK211" s="520"/>
      <c r="BL211" s="77"/>
      <c r="BM211" s="77"/>
      <c r="BN211" s="77"/>
      <c r="BO211" s="429"/>
      <c r="BP211" s="79"/>
      <c r="BQ211" s="80"/>
      <c r="BR211" s="80"/>
      <c r="BS211" s="432"/>
      <c r="BT211" s="434"/>
      <c r="BU211" s="208"/>
      <c r="BV211" s="208"/>
      <c r="BW211" s="209"/>
      <c r="BX211" s="206">
        <v>0</v>
      </c>
      <c r="BY211" s="207">
        <v>0</v>
      </c>
      <c r="BZ211" s="207">
        <v>143.935</v>
      </c>
      <c r="CA211" s="83">
        <f>-BZ211-BY211-BX211+Annually!AE221</f>
        <v>419.767</v>
      </c>
      <c r="CB211" s="206">
        <v>133.235</v>
      </c>
      <c r="CC211" s="207">
        <v>134.386</v>
      </c>
      <c r="CD211" s="207">
        <v>107.667</v>
      </c>
      <c r="CE211" s="83">
        <v>0</v>
      </c>
      <c r="CF211" s="206">
        <v>0</v>
      </c>
      <c r="CG211" s="207">
        <v>0</v>
      </c>
      <c r="CH211" s="207">
        <v>0</v>
      </c>
      <c r="CI211" s="83">
        <f>Annually!AG221-Quarterly!CH211-Quarterly!CG211-Quarterly!CF211</f>
        <v>0</v>
      </c>
      <c r="CJ211" s="206">
        <v>0</v>
      </c>
      <c r="CK211" s="207">
        <v>42.108</v>
      </c>
      <c r="CL211" s="207">
        <v>14.403000000000006</v>
      </c>
      <c r="CM211" s="415">
        <v>0</v>
      </c>
      <c r="CN211" s="206">
        <v>0</v>
      </c>
      <c r="CO211" s="207">
        <v>0</v>
      </c>
      <c r="CP211" s="207">
        <v>0</v>
      </c>
      <c r="CQ211" s="207">
        <v>0</v>
      </c>
      <c r="CR211" s="484">
        <v>0</v>
      </c>
      <c r="CS211" s="207">
        <v>0</v>
      </c>
      <c r="CT211" s="207">
        <v>0</v>
      </c>
      <c r="CU211" s="207">
        <v>0</v>
      </c>
      <c r="CV211" s="206">
        <v>0</v>
      </c>
      <c r="CW211" s="207">
        <v>0</v>
      </c>
      <c r="CX211" s="207">
        <v>0</v>
      </c>
      <c r="CY211" s="207">
        <f>Annually!AK221-CX211-CW211-CV211</f>
        <v>0</v>
      </c>
      <c r="CZ211" s="206">
        <v>0</v>
      </c>
      <c r="DA211" s="207">
        <v>0</v>
      </c>
      <c r="DB211" s="207">
        <v>0</v>
      </c>
      <c r="DC211" s="207">
        <f>Annually!AL221-DB211-DA211-CZ211</f>
        <v>0</v>
      </c>
      <c r="DD211" s="484">
        <v>0</v>
      </c>
      <c r="DE211" s="207">
        <v>0</v>
      </c>
      <c r="DF211" s="207">
        <v>0</v>
      </c>
      <c r="DG211" s="207">
        <f>Annually!AM221-DF211-DE211-DD211</f>
        <v>0</v>
      </c>
      <c r="DH211" s="206">
        <v>0</v>
      </c>
      <c r="DI211" s="207">
        <v>0</v>
      </c>
      <c r="DJ211" s="207">
        <v>0</v>
      </c>
      <c r="DK211" s="207">
        <v>0</v>
      </c>
      <c r="DL211" s="206">
        <v>0</v>
      </c>
      <c r="DM211" s="207">
        <v>0</v>
      </c>
      <c r="DN211" s="207">
        <v>0</v>
      </c>
      <c r="DO211" s="207">
        <f>Annually!AO221-DN211-DM211-DL211</f>
        <v>0</v>
      </c>
      <c r="DP211" s="206">
        <v>0</v>
      </c>
      <c r="DQ211" s="207">
        <v>0</v>
      </c>
      <c r="DR211" s="207">
        <v>0</v>
      </c>
      <c r="DS211" s="207">
        <f>Annually!AP221-DR211-DQ211-DP211</f>
        <v>0</v>
      </c>
      <c r="DU211" s="63"/>
    </row>
    <row r="212" spans="1:169" s="129" customFormat="1" ht="15">
      <c r="A212" s="100" t="s">
        <v>104</v>
      </c>
      <c r="B212" s="100" t="s">
        <v>93</v>
      </c>
      <c r="C212" s="363"/>
      <c r="D212" s="363"/>
      <c r="E212" s="363"/>
      <c r="F212" s="364"/>
      <c r="G212" s="365"/>
      <c r="H212" s="363"/>
      <c r="I212" s="363"/>
      <c r="J212" s="364"/>
      <c r="K212" s="357"/>
      <c r="L212" s="358"/>
      <c r="M212" s="358"/>
      <c r="N212" s="366"/>
      <c r="O212" s="180"/>
      <c r="P212" s="181"/>
      <c r="Q212" s="181">
        <v>1.08</v>
      </c>
      <c r="R212" s="181">
        <f>-Q212-P212-O212+Annually!J222</f>
        <v>130.856</v>
      </c>
      <c r="S212" s="180">
        <v>440.37</v>
      </c>
      <c r="T212" s="181">
        <v>583.703</v>
      </c>
      <c r="U212" s="181">
        <v>620.496</v>
      </c>
      <c r="V212" s="181">
        <v>690.253</v>
      </c>
      <c r="W212" s="180">
        <v>789.965</v>
      </c>
      <c r="X212" s="181">
        <v>704.543</v>
      </c>
      <c r="Y212" s="181">
        <v>717.7859999999997</v>
      </c>
      <c r="Z212" s="181">
        <f>Annually!L222-Quarterly!Y212-Quarterly!X212-Quarterly!W212</f>
        <v>988.3610000000004</v>
      </c>
      <c r="AA212" s="180">
        <v>1032.121</v>
      </c>
      <c r="AB212" s="181">
        <v>1139.523</v>
      </c>
      <c r="AC212" s="181">
        <v>1118.0870000000004</v>
      </c>
      <c r="AD212" s="181">
        <v>1233.242</v>
      </c>
      <c r="AE212" s="180">
        <v>1141.884</v>
      </c>
      <c r="AF212" s="181">
        <v>1149.849</v>
      </c>
      <c r="AG212" s="181">
        <v>935.613</v>
      </c>
      <c r="AH212" s="181">
        <f>Annually!N222-AG212-AF212-AE212</f>
        <v>1221.9289999999992</v>
      </c>
      <c r="AI212" s="467">
        <v>955.303</v>
      </c>
      <c r="AJ212" s="181">
        <v>1244.323</v>
      </c>
      <c r="AK212" s="181">
        <v>1277.4160000000002</v>
      </c>
      <c r="AL212" s="181">
        <f>Annually!O222-AK212-AJ212-AI212</f>
        <v>1143.2669999999998</v>
      </c>
      <c r="AM212" s="467">
        <v>1185.201</v>
      </c>
      <c r="AN212" s="181">
        <v>1206.234</v>
      </c>
      <c r="AO212" s="181">
        <v>1201.537</v>
      </c>
      <c r="AP212" s="185">
        <f>Annually!P222-AO212-AN212-AM212</f>
        <v>1316.4329999999995</v>
      </c>
      <c r="AQ212" s="180">
        <v>1176.367</v>
      </c>
      <c r="AR212" s="181">
        <v>1212.223</v>
      </c>
      <c r="AS212" s="181">
        <v>1356.809</v>
      </c>
      <c r="AT212" s="185">
        <f>Annually!Q222-AS212-AR212-AQ212</f>
        <v>1282.798</v>
      </c>
      <c r="AU212" s="180">
        <v>1060.319</v>
      </c>
      <c r="AV212" s="181">
        <v>1340.36</v>
      </c>
      <c r="AW212" s="181">
        <v>1378.579</v>
      </c>
      <c r="AX212" s="273">
        <f>Annually!R222-AW212-AV212-AU212</f>
        <v>1445.9260000000008</v>
      </c>
      <c r="AY212" s="180">
        <v>1419.457</v>
      </c>
      <c r="AZ212" s="181">
        <v>1269.64</v>
      </c>
      <c r="BA212" s="181">
        <v>1334.471</v>
      </c>
      <c r="BB212" s="181">
        <v>1528.896</v>
      </c>
      <c r="BC212" s="180">
        <v>1445.641</v>
      </c>
      <c r="BD212" s="181">
        <v>1333.8339999999998</v>
      </c>
      <c r="BE212" s="181">
        <v>1496.839</v>
      </c>
      <c r="BF212" s="181">
        <f>Annually!T222-BC212-BD212-BE212</f>
        <v>1426.5659999999998</v>
      </c>
      <c r="BG212" s="180">
        <v>1473.063</v>
      </c>
      <c r="BH212" s="181">
        <v>1445.474</v>
      </c>
      <c r="BI212" s="181">
        <v>1285.023</v>
      </c>
      <c r="BJ212" s="181">
        <f>Annually!U222-BG212-BH212-BI212</f>
        <v>1268.0670000000002</v>
      </c>
      <c r="BK212" s="522"/>
      <c r="BL212" s="145"/>
      <c r="BM212" s="145"/>
      <c r="BN212" s="145"/>
      <c r="BO212" s="430"/>
      <c r="BP212" s="147"/>
      <c r="BQ212" s="148"/>
      <c r="BR212" s="148"/>
      <c r="BS212" s="433"/>
      <c r="BT212" s="150"/>
      <c r="BU212" s="151"/>
      <c r="BV212" s="151"/>
      <c r="BW212" s="192"/>
      <c r="BX212" s="193"/>
      <c r="BY212" s="194"/>
      <c r="BZ212" s="194"/>
      <c r="CA212" s="194"/>
      <c r="CB212" s="193"/>
      <c r="CC212" s="194"/>
      <c r="CD212" s="194"/>
      <c r="CE212" s="194"/>
      <c r="CF212" s="193"/>
      <c r="CG212" s="194"/>
      <c r="CH212" s="194"/>
      <c r="CI212" s="194"/>
      <c r="CJ212" s="193"/>
      <c r="CK212" s="194"/>
      <c r="CL212" s="194"/>
      <c r="CM212" s="195"/>
      <c r="CN212" s="193"/>
      <c r="CO212" s="194"/>
      <c r="CP212" s="194"/>
      <c r="CQ212" s="194"/>
      <c r="CR212" s="486"/>
      <c r="CS212" s="194"/>
      <c r="CT212" s="194"/>
      <c r="CU212" s="194"/>
      <c r="CV212" s="193"/>
      <c r="CW212" s="194"/>
      <c r="CX212" s="194"/>
      <c r="CY212" s="194"/>
      <c r="CZ212" s="193"/>
      <c r="DA212" s="194"/>
      <c r="DB212" s="194"/>
      <c r="DC212" s="194"/>
      <c r="DD212" s="486"/>
      <c r="DE212" s="194"/>
      <c r="DF212" s="194"/>
      <c r="DG212" s="194"/>
      <c r="DH212" s="193"/>
      <c r="DI212" s="194"/>
      <c r="DJ212" s="194"/>
      <c r="DK212" s="194"/>
      <c r="DL212" s="193"/>
      <c r="DM212" s="194"/>
      <c r="DN212" s="194"/>
      <c r="DO212" s="194"/>
      <c r="DP212" s="193"/>
      <c r="DQ212" s="194"/>
      <c r="DR212" s="194"/>
      <c r="DS212" s="194"/>
      <c r="DT212" s="156"/>
      <c r="DU212" s="156"/>
      <c r="DV212" s="156"/>
      <c r="DW212" s="156"/>
      <c r="DX212" s="156"/>
      <c r="DY212" s="156"/>
      <c r="DZ212" s="156"/>
      <c r="EA212" s="156"/>
      <c r="EB212" s="156"/>
      <c r="EC212" s="156"/>
      <c r="ED212" s="156"/>
      <c r="EE212" s="156"/>
      <c r="EF212" s="156"/>
      <c r="EG212" s="156"/>
      <c r="EH212" s="156"/>
      <c r="EI212" s="156"/>
      <c r="EJ212" s="156"/>
      <c r="EK212" s="156"/>
      <c r="EL212" s="156"/>
      <c r="EM212" s="156"/>
      <c r="EN212" s="156"/>
      <c r="EO212" s="156"/>
      <c r="EP212" s="156"/>
      <c r="EQ212" s="156"/>
      <c r="ER212" s="156"/>
      <c r="ES212" s="156"/>
      <c r="ET212" s="156"/>
      <c r="EU212" s="156"/>
      <c r="EV212" s="156"/>
      <c r="EW212" s="156"/>
      <c r="EX212" s="156"/>
      <c r="EY212" s="156"/>
      <c r="EZ212" s="156"/>
      <c r="FA212" s="156"/>
      <c r="FB212" s="156"/>
      <c r="FC212" s="156"/>
      <c r="FD212" s="156"/>
      <c r="FE212" s="156"/>
      <c r="FF212" s="156"/>
      <c r="FG212" s="156"/>
      <c r="FH212" s="156"/>
      <c r="FI212" s="156"/>
      <c r="FJ212" s="156"/>
      <c r="FK212" s="156"/>
      <c r="FL212" s="156"/>
      <c r="FM212" s="156"/>
    </row>
    <row r="213" spans="1:125" ht="15.75">
      <c r="A213" s="98" t="s">
        <v>113</v>
      </c>
      <c r="B213" s="98" t="s">
        <v>112</v>
      </c>
      <c r="C213" s="367"/>
      <c r="D213" s="367"/>
      <c r="E213" s="367"/>
      <c r="F213" s="368"/>
      <c r="G213" s="369"/>
      <c r="H213" s="367"/>
      <c r="I213" s="367"/>
      <c r="J213" s="368"/>
      <c r="K213" s="353"/>
      <c r="L213" s="354"/>
      <c r="M213" s="354"/>
      <c r="N213" s="370"/>
      <c r="O213" s="372"/>
      <c r="P213" s="373"/>
      <c r="Q213" s="373"/>
      <c r="R213" s="75"/>
      <c r="S213" s="376"/>
      <c r="T213" s="75"/>
      <c r="U213" s="75"/>
      <c r="V213" s="76"/>
      <c r="W213" s="74"/>
      <c r="X213" s="75"/>
      <c r="Y213" s="75"/>
      <c r="Z213" s="76"/>
      <c r="AA213" s="74"/>
      <c r="AB213" s="75"/>
      <c r="AC213" s="75"/>
      <c r="AD213" s="75"/>
      <c r="AE213" s="74"/>
      <c r="AF213" s="75"/>
      <c r="AG213" s="75"/>
      <c r="AH213" s="75"/>
      <c r="AI213" s="376"/>
      <c r="AJ213" s="75"/>
      <c r="AK213" s="75"/>
      <c r="AL213" s="75"/>
      <c r="AM213" s="376"/>
      <c r="AN213" s="75"/>
      <c r="AO213" s="75"/>
      <c r="AP213" s="75"/>
      <c r="AQ213" s="74"/>
      <c r="AR213" s="75"/>
      <c r="AS213" s="75"/>
      <c r="AT213" s="75"/>
      <c r="AU213" s="74"/>
      <c r="AV213" s="75"/>
      <c r="AW213" s="75"/>
      <c r="AX213" s="272"/>
      <c r="AY213" s="74"/>
      <c r="AZ213" s="75"/>
      <c r="BA213" s="75"/>
      <c r="BB213" s="75"/>
      <c r="BC213" s="74"/>
      <c r="BD213" s="75"/>
      <c r="BE213" s="75"/>
      <c r="BF213" s="75"/>
      <c r="BG213" s="74"/>
      <c r="BH213" s="75"/>
      <c r="BI213" s="75"/>
      <c r="BJ213" s="75"/>
      <c r="BK213" s="520"/>
      <c r="BL213" s="292"/>
      <c r="BM213" s="292"/>
      <c r="BN213" s="292"/>
      <c r="BO213" s="431"/>
      <c r="BP213" s="327"/>
      <c r="BQ213" s="292"/>
      <c r="BR213" s="292"/>
      <c r="BS213" s="431"/>
      <c r="BT213" s="327"/>
      <c r="BU213" s="292"/>
      <c r="BV213" s="292"/>
      <c r="BW213" s="326"/>
      <c r="BX213" s="327">
        <f>BX209-BX210+BX211</f>
        <v>0</v>
      </c>
      <c r="BY213" s="292">
        <f aca="true" t="shared" si="620" ref="BY213:CT213">BY209-BY210+BY211</f>
        <v>0</v>
      </c>
      <c r="BZ213" s="292">
        <f t="shared" si="620"/>
        <v>143.935</v>
      </c>
      <c r="CA213" s="326">
        <f t="shared" si="620"/>
        <v>419.767</v>
      </c>
      <c r="CB213" s="305">
        <f t="shared" si="620"/>
        <v>133.235</v>
      </c>
      <c r="CC213" s="303">
        <f t="shared" si="620"/>
        <v>134.386</v>
      </c>
      <c r="CD213" s="303">
        <f t="shared" si="620"/>
        <v>115.28045</v>
      </c>
      <c r="CE213" s="303">
        <f t="shared" si="620"/>
        <v>3.9000000000000057</v>
      </c>
      <c r="CF213" s="305">
        <f t="shared" si="620"/>
        <v>23.35145</v>
      </c>
      <c r="CG213" s="303">
        <f t="shared" si="620"/>
        <v>14.277749999999997</v>
      </c>
      <c r="CH213" s="303">
        <f t="shared" si="620"/>
        <v>38.890600000000006</v>
      </c>
      <c r="CI213" s="303">
        <f t="shared" si="620"/>
        <v>103.24019999999993</v>
      </c>
      <c r="CJ213" s="391">
        <f t="shared" si="620"/>
        <v>60.77190000000002</v>
      </c>
      <c r="CK213" s="303">
        <f t="shared" si="620"/>
        <v>149.652</v>
      </c>
      <c r="CL213" s="303">
        <f t="shared" si="620"/>
        <v>105.49276000000002</v>
      </c>
      <c r="CM213" s="304">
        <f t="shared" si="620"/>
        <v>96.57314999999997</v>
      </c>
      <c r="CN213" s="391">
        <f t="shared" si="620"/>
        <v>69.28899999999999</v>
      </c>
      <c r="CO213" s="303">
        <f t="shared" si="620"/>
        <v>111.26950899999997</v>
      </c>
      <c r="CP213" s="303">
        <f t="shared" si="620"/>
        <v>49.82599999999999</v>
      </c>
      <c r="CQ213" s="303">
        <f t="shared" si="620"/>
        <v>109.07500100000004</v>
      </c>
      <c r="CR213" s="391">
        <f t="shared" si="620"/>
        <v>8.121350000000007</v>
      </c>
      <c r="CS213" s="303">
        <f t="shared" si="620"/>
        <v>83.70499999999998</v>
      </c>
      <c r="CT213" s="303">
        <f t="shared" si="620"/>
        <v>84.14365000000012</v>
      </c>
      <c r="CU213" s="303">
        <f aca="true" t="shared" si="621" ref="CU213:CZ213">CU209-CU210+CU211</f>
        <v>83.54174999999978</v>
      </c>
      <c r="CV213" s="305">
        <f t="shared" si="621"/>
        <v>61.557000000000016</v>
      </c>
      <c r="CW213" s="303">
        <f t="shared" si="621"/>
        <v>91.69504999999998</v>
      </c>
      <c r="CX213" s="303">
        <f t="shared" si="621"/>
        <v>69.16480000000001</v>
      </c>
      <c r="CY213" s="303">
        <f t="shared" si="621"/>
        <v>44.319650000000024</v>
      </c>
      <c r="CZ213" s="305">
        <f t="shared" si="621"/>
        <v>33.043000000000006</v>
      </c>
      <c r="DA213" s="303">
        <f aca="true" t="shared" si="622" ref="DA213:DF213">DA209-DA210+DA211</f>
        <v>66.256</v>
      </c>
      <c r="DB213" s="303">
        <f t="shared" si="622"/>
        <v>88.24200000000002</v>
      </c>
      <c r="DC213" s="303">
        <f t="shared" si="622"/>
        <v>99.09225000000004</v>
      </c>
      <c r="DD213" s="391">
        <f t="shared" si="622"/>
        <v>62.69800000000001</v>
      </c>
      <c r="DE213" s="303">
        <f t="shared" si="622"/>
        <v>60.736999999999966</v>
      </c>
      <c r="DF213" s="303">
        <f t="shared" si="622"/>
        <v>62.072550000000064</v>
      </c>
      <c r="DG213" s="303">
        <f aca="true" t="shared" si="623" ref="DG213:DL213">DG209-DG210+DG211</f>
        <v>105.68029999999973</v>
      </c>
      <c r="DH213" s="305">
        <f t="shared" si="623"/>
        <v>68.5668</v>
      </c>
      <c r="DI213" s="303">
        <f t="shared" si="623"/>
        <v>76.17680000000001</v>
      </c>
      <c r="DJ213" s="303">
        <f t="shared" si="623"/>
        <v>82.02420000000001</v>
      </c>
      <c r="DK213" s="303">
        <f t="shared" si="623"/>
        <v>71.95534999999995</v>
      </c>
      <c r="DL213" s="305">
        <f t="shared" si="623"/>
        <v>64.88355000000001</v>
      </c>
      <c r="DM213" s="303">
        <f aca="true" t="shared" si="624" ref="DM213:DR213">DM209-DM210+DM211</f>
        <v>42.88334999999995</v>
      </c>
      <c r="DN213" s="303">
        <f t="shared" si="624"/>
        <v>65.8733</v>
      </c>
      <c r="DO213" s="303">
        <f t="shared" si="624"/>
        <v>58.34390000000025</v>
      </c>
      <c r="DP213" s="305">
        <f t="shared" si="624"/>
        <v>58.33530000000002</v>
      </c>
      <c r="DQ213" s="303">
        <f t="shared" si="624"/>
        <v>27.364100000000008</v>
      </c>
      <c r="DR213" s="303">
        <f t="shared" si="624"/>
        <v>23.32600000000008</v>
      </c>
      <c r="DS213" s="303">
        <f>DS209-DS210+DS211</f>
        <v>19.51879999999977</v>
      </c>
      <c r="DU213" s="63"/>
    </row>
    <row r="214" spans="1:139" ht="15.75" customHeight="1">
      <c r="A214" s="64" t="s">
        <v>192</v>
      </c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416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CN214" s="417"/>
      <c r="CP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5"/>
      <c r="DF214" s="135"/>
      <c r="DG214" s="135"/>
      <c r="DH214" s="135"/>
      <c r="DI214" s="135"/>
      <c r="DJ214" s="135"/>
      <c r="DK214" s="135"/>
      <c r="DL214" s="135"/>
      <c r="DM214" s="135"/>
      <c r="DN214" s="135"/>
      <c r="DO214" s="135"/>
      <c r="DP214" s="135"/>
      <c r="DQ214" s="135"/>
      <c r="DR214" s="135"/>
      <c r="DS214" s="135"/>
      <c r="EI214" s="494"/>
    </row>
    <row r="216" spans="39:63" ht="15" hidden="1" outlineLevel="1"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</row>
    <row r="217" spans="1:169" s="68" customFormat="1" ht="15.75" hidden="1" outlineLevel="1">
      <c r="A217" s="654" t="s">
        <v>233</v>
      </c>
      <c r="B217" s="654" t="s">
        <v>234</v>
      </c>
      <c r="C217" s="655" t="s">
        <v>52</v>
      </c>
      <c r="D217" s="655"/>
      <c r="E217" s="655"/>
      <c r="F217" s="655"/>
      <c r="G217" s="655"/>
      <c r="H217" s="655"/>
      <c r="I217" s="655"/>
      <c r="J217" s="655"/>
      <c r="K217" s="655"/>
      <c r="L217" s="655"/>
      <c r="M217" s="655"/>
      <c r="N217" s="655"/>
      <c r="O217" s="655"/>
      <c r="P217" s="655"/>
      <c r="Q217" s="655"/>
      <c r="R217" s="655"/>
      <c r="S217" s="655"/>
      <c r="T217" s="655"/>
      <c r="U217" s="655"/>
      <c r="V217" s="655"/>
      <c r="W217" s="655"/>
      <c r="X217" s="655"/>
      <c r="Y217" s="655"/>
      <c r="Z217" s="655"/>
      <c r="AA217" s="655"/>
      <c r="AB217" s="655"/>
      <c r="AC217" s="655"/>
      <c r="AD217" s="655"/>
      <c r="AE217" s="655"/>
      <c r="AF217" s="655"/>
      <c r="AG217" s="655"/>
      <c r="AH217" s="655"/>
      <c r="AI217" s="448"/>
      <c r="AJ217" s="300"/>
      <c r="AK217" s="300"/>
      <c r="AL217" s="300"/>
      <c r="AM217" s="300"/>
      <c r="AN217" s="511"/>
      <c r="AO217" s="511"/>
      <c r="AP217" s="511"/>
      <c r="AQ217" s="511"/>
      <c r="AR217" s="511"/>
      <c r="AS217" s="511"/>
      <c r="AT217" s="511"/>
      <c r="AU217" s="511"/>
      <c r="AV217" s="511"/>
      <c r="AW217" s="511"/>
      <c r="AX217" s="511"/>
      <c r="AY217" s="511"/>
      <c r="AZ217" s="511"/>
      <c r="BA217" s="511"/>
      <c r="BB217" s="511"/>
      <c r="BC217" s="511"/>
      <c r="BD217" s="511"/>
      <c r="BE217" s="511"/>
      <c r="BF217" s="511"/>
      <c r="BG217" s="511"/>
      <c r="BH217" s="511"/>
      <c r="BI217" s="511"/>
      <c r="BJ217" s="511"/>
      <c r="BK217" s="511"/>
      <c r="BL217" s="656" t="s">
        <v>179</v>
      </c>
      <c r="BM217" s="656"/>
      <c r="BN217" s="656"/>
      <c r="BO217" s="656"/>
      <c r="BP217" s="656"/>
      <c r="BQ217" s="656"/>
      <c r="BR217" s="656"/>
      <c r="BS217" s="656"/>
      <c r="BT217" s="656"/>
      <c r="BU217" s="656"/>
      <c r="BV217" s="656"/>
      <c r="BW217" s="656"/>
      <c r="BX217" s="656"/>
      <c r="BY217" s="656"/>
      <c r="BZ217" s="656"/>
      <c r="CA217" s="656"/>
      <c r="CB217" s="656"/>
      <c r="CC217" s="656"/>
      <c r="CD217" s="656"/>
      <c r="CE217" s="656"/>
      <c r="CF217" s="656"/>
      <c r="CG217" s="656"/>
      <c r="CH217" s="656"/>
      <c r="CI217" s="656"/>
      <c r="CJ217" s="656"/>
      <c r="CK217" s="656"/>
      <c r="CL217" s="656"/>
      <c r="CM217" s="656"/>
      <c r="CN217" s="656"/>
      <c r="CO217" s="656"/>
      <c r="CP217" s="656"/>
      <c r="CQ217" s="656"/>
      <c r="CR217" s="300"/>
      <c r="CS217" s="300"/>
      <c r="CT217" s="300"/>
      <c r="CU217" s="300"/>
      <c r="CV217" s="300"/>
      <c r="CW217" s="300"/>
      <c r="CX217" s="300"/>
      <c r="CY217" s="300"/>
      <c r="CZ217" s="300"/>
      <c r="DA217" s="300"/>
      <c r="DB217" s="300"/>
      <c r="DC217" s="300"/>
      <c r="DD217" s="300"/>
      <c r="DE217" s="300"/>
      <c r="DF217" s="300"/>
      <c r="DG217" s="300"/>
      <c r="DH217" s="300"/>
      <c r="DI217" s="300"/>
      <c r="DJ217" s="300"/>
      <c r="DK217" s="300"/>
      <c r="DL217" s="300"/>
      <c r="DM217" s="300"/>
      <c r="DN217" s="300"/>
      <c r="DO217" s="300"/>
      <c r="DP217" s="300"/>
      <c r="DQ217" s="300"/>
      <c r="DR217" s="300"/>
      <c r="DS217" s="300"/>
      <c r="DT217" s="247"/>
      <c r="DU217" s="247"/>
      <c r="DV217" s="247"/>
      <c r="DW217" s="247"/>
      <c r="DX217" s="247"/>
      <c r="DY217" s="247"/>
      <c r="DZ217" s="247"/>
      <c r="EA217" s="247"/>
      <c r="EB217" s="247"/>
      <c r="EC217" s="247"/>
      <c r="ED217" s="247"/>
      <c r="EE217" s="247"/>
      <c r="EF217" s="247"/>
      <c r="EG217" s="247"/>
      <c r="EH217" s="247"/>
      <c r="EI217" s="247"/>
      <c r="EJ217" s="247"/>
      <c r="EK217" s="247"/>
      <c r="EL217" s="247"/>
      <c r="EM217" s="247"/>
      <c r="EN217" s="247"/>
      <c r="EO217" s="247"/>
      <c r="EP217" s="247"/>
      <c r="EQ217" s="247"/>
      <c r="ER217" s="247"/>
      <c r="ES217" s="247"/>
      <c r="ET217" s="247"/>
      <c r="EU217" s="247"/>
      <c r="EV217" s="247"/>
      <c r="EW217" s="247"/>
      <c r="EX217" s="247"/>
      <c r="EY217" s="247"/>
      <c r="EZ217" s="247"/>
      <c r="FA217" s="247"/>
      <c r="FB217" s="247"/>
      <c r="FC217" s="247"/>
      <c r="FD217" s="247"/>
      <c r="FE217" s="247"/>
      <c r="FF217" s="247"/>
      <c r="FG217" s="247"/>
      <c r="FH217" s="247"/>
      <c r="FI217" s="247"/>
      <c r="FJ217" s="247"/>
      <c r="FK217" s="247"/>
      <c r="FL217" s="247"/>
      <c r="FM217" s="247"/>
    </row>
    <row r="218" spans="1:169" s="68" customFormat="1" ht="15.75" hidden="1" outlineLevel="1">
      <c r="A218" s="654"/>
      <c r="B218" s="654"/>
      <c r="C218" s="655" t="s">
        <v>54</v>
      </c>
      <c r="D218" s="655"/>
      <c r="E218" s="655"/>
      <c r="F218" s="655"/>
      <c r="G218" s="655"/>
      <c r="H218" s="655"/>
      <c r="I218" s="655"/>
      <c r="J218" s="655"/>
      <c r="K218" s="655"/>
      <c r="L218" s="655"/>
      <c r="M218" s="655"/>
      <c r="N218" s="655"/>
      <c r="O218" s="655"/>
      <c r="P218" s="655"/>
      <c r="Q218" s="655"/>
      <c r="R218" s="655"/>
      <c r="S218" s="655"/>
      <c r="T218" s="655"/>
      <c r="U218" s="655"/>
      <c r="V218" s="655"/>
      <c r="W218" s="655"/>
      <c r="X218" s="655"/>
      <c r="Y218" s="655"/>
      <c r="Z218" s="655"/>
      <c r="AA218" s="655"/>
      <c r="AB218" s="655"/>
      <c r="AC218" s="655"/>
      <c r="AD218" s="655"/>
      <c r="AE218" s="655"/>
      <c r="AF218" s="655"/>
      <c r="AG218" s="655"/>
      <c r="AH218" s="655"/>
      <c r="AI218" s="448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  <c r="AU218" s="300"/>
      <c r="AV218" s="300"/>
      <c r="AW218" s="300"/>
      <c r="AX218" s="300"/>
      <c r="AY218" s="300"/>
      <c r="AZ218" s="607"/>
      <c r="BA218" s="607"/>
      <c r="BB218" s="607"/>
      <c r="BC218" s="607"/>
      <c r="BD218" s="607"/>
      <c r="BE218" s="607"/>
      <c r="BF218" s="607"/>
      <c r="BG218" s="607"/>
      <c r="BH218" s="607"/>
      <c r="BI218" s="607"/>
      <c r="BJ218" s="607"/>
      <c r="BK218" s="300"/>
      <c r="BL218" s="656" t="s">
        <v>214</v>
      </c>
      <c r="BM218" s="656"/>
      <c r="BN218" s="656"/>
      <c r="BO218" s="656"/>
      <c r="BP218" s="656"/>
      <c r="BQ218" s="656"/>
      <c r="BR218" s="656"/>
      <c r="BS218" s="656"/>
      <c r="BT218" s="656"/>
      <c r="BU218" s="656"/>
      <c r="BV218" s="656"/>
      <c r="BW218" s="656"/>
      <c r="BX218" s="656"/>
      <c r="BY218" s="656"/>
      <c r="BZ218" s="656"/>
      <c r="CA218" s="656"/>
      <c r="CB218" s="656"/>
      <c r="CC218" s="656"/>
      <c r="CD218" s="656"/>
      <c r="CE218" s="656"/>
      <c r="CF218" s="656"/>
      <c r="CG218" s="656"/>
      <c r="CH218" s="656"/>
      <c r="CI218" s="656"/>
      <c r="CJ218" s="656"/>
      <c r="CK218" s="656"/>
      <c r="CL218" s="656"/>
      <c r="CM218" s="656"/>
      <c r="CN218" s="656"/>
      <c r="CO218" s="656"/>
      <c r="CP218" s="656"/>
      <c r="CQ218" s="656"/>
      <c r="CR218" s="300"/>
      <c r="CS218" s="300"/>
      <c r="CT218" s="300"/>
      <c r="CU218" s="300"/>
      <c r="CV218" s="300"/>
      <c r="CW218" s="300"/>
      <c r="CX218" s="300"/>
      <c r="CY218" s="300"/>
      <c r="CZ218" s="300"/>
      <c r="DA218" s="300"/>
      <c r="DB218" s="300"/>
      <c r="DC218" s="300"/>
      <c r="DD218" s="300"/>
      <c r="DE218" s="300"/>
      <c r="DF218" s="300"/>
      <c r="DG218" s="300"/>
      <c r="DH218" s="300"/>
      <c r="DI218" s="300"/>
      <c r="DJ218" s="300"/>
      <c r="DK218" s="300"/>
      <c r="DL218" s="300"/>
      <c r="DM218" s="300"/>
      <c r="DN218" s="300"/>
      <c r="DO218" s="300"/>
      <c r="DP218" s="300"/>
      <c r="DQ218" s="300"/>
      <c r="DR218" s="300"/>
      <c r="DS218" s="300"/>
      <c r="DT218" s="247"/>
      <c r="DU218" s="247"/>
      <c r="DV218" s="247"/>
      <c r="DW218" s="247"/>
      <c r="DX218" s="247"/>
      <c r="DY218" s="247"/>
      <c r="DZ218" s="247"/>
      <c r="EA218" s="247"/>
      <c r="EB218" s="247"/>
      <c r="EC218" s="247"/>
      <c r="ED218" s="247"/>
      <c r="EE218" s="247"/>
      <c r="EF218" s="247"/>
      <c r="EG218" s="247"/>
      <c r="EH218" s="247"/>
      <c r="EI218" s="247"/>
      <c r="EJ218" s="247"/>
      <c r="EK218" s="247"/>
      <c r="EL218" s="247"/>
      <c r="EM218" s="247"/>
      <c r="EN218" s="247"/>
      <c r="EO218" s="247"/>
      <c r="EP218" s="247"/>
      <c r="EQ218" s="247"/>
      <c r="ER218" s="247"/>
      <c r="ES218" s="247"/>
      <c r="ET218" s="247"/>
      <c r="EU218" s="247"/>
      <c r="EV218" s="247"/>
      <c r="EW218" s="247"/>
      <c r="EX218" s="247"/>
      <c r="EY218" s="247"/>
      <c r="EZ218" s="247"/>
      <c r="FA218" s="247"/>
      <c r="FB218" s="247"/>
      <c r="FC218" s="247"/>
      <c r="FD218" s="247"/>
      <c r="FE218" s="247"/>
      <c r="FF218" s="247"/>
      <c r="FG218" s="247"/>
      <c r="FH218" s="247"/>
      <c r="FI218" s="247"/>
      <c r="FJ218" s="247"/>
      <c r="FK218" s="247"/>
      <c r="FL218" s="247"/>
      <c r="FM218" s="247"/>
    </row>
    <row r="219" spans="1:169" s="68" customFormat="1" ht="15.75" hidden="1" outlineLevel="1">
      <c r="A219" s="96" t="s">
        <v>55</v>
      </c>
      <c r="B219" s="96" t="s">
        <v>53</v>
      </c>
      <c r="C219" s="328" t="s">
        <v>108</v>
      </c>
      <c r="D219" s="328" t="s">
        <v>109</v>
      </c>
      <c r="E219" s="328" t="s">
        <v>110</v>
      </c>
      <c r="F219" s="329" t="s">
        <v>111</v>
      </c>
      <c r="G219" s="330" t="s">
        <v>107</v>
      </c>
      <c r="H219" s="328" t="s">
        <v>140</v>
      </c>
      <c r="I219" s="328" t="s">
        <v>141</v>
      </c>
      <c r="J219" s="329" t="s">
        <v>143</v>
      </c>
      <c r="K219" s="330" t="s">
        <v>144</v>
      </c>
      <c r="L219" s="328" t="s">
        <v>145</v>
      </c>
      <c r="M219" s="328" t="s">
        <v>146</v>
      </c>
      <c r="N219" s="329" t="s">
        <v>147</v>
      </c>
      <c r="O219" s="330" t="s">
        <v>148</v>
      </c>
      <c r="P219" s="328" t="s">
        <v>149</v>
      </c>
      <c r="Q219" s="328" t="s">
        <v>151</v>
      </c>
      <c r="R219" s="328" t="s">
        <v>158</v>
      </c>
      <c r="S219" s="330" t="s">
        <v>164</v>
      </c>
      <c r="T219" s="328" t="s">
        <v>165</v>
      </c>
      <c r="U219" s="328" t="s">
        <v>166</v>
      </c>
      <c r="V219" s="328" t="s">
        <v>167</v>
      </c>
      <c r="W219" s="330" t="s">
        <v>196</v>
      </c>
      <c r="X219" s="328" t="s">
        <v>198</v>
      </c>
      <c r="Y219" s="328" t="s">
        <v>200</v>
      </c>
      <c r="Z219" s="328" t="s">
        <v>202</v>
      </c>
      <c r="AA219" s="330" t="s">
        <v>207</v>
      </c>
      <c r="AB219" s="328" t="s">
        <v>209</v>
      </c>
      <c r="AC219" s="328" t="s">
        <v>210</v>
      </c>
      <c r="AD219" s="328" t="s">
        <v>211</v>
      </c>
      <c r="AE219" s="330" t="s">
        <v>215</v>
      </c>
      <c r="AF219" s="328" t="s">
        <v>216</v>
      </c>
      <c r="AG219" s="328" t="s">
        <v>222</v>
      </c>
      <c r="AH219" s="328" t="s">
        <v>226</v>
      </c>
      <c r="AI219" s="448"/>
      <c r="AJ219" s="300"/>
      <c r="AK219" s="300"/>
      <c r="AL219" s="300"/>
      <c r="AM219" s="300"/>
      <c r="AN219" s="300"/>
      <c r="AO219" s="300"/>
      <c r="AP219" s="300"/>
      <c r="AQ219" s="300"/>
      <c r="AR219" s="300"/>
      <c r="AS219" s="300"/>
      <c r="AT219" s="300"/>
      <c r="AU219" s="300"/>
      <c r="AV219" s="300"/>
      <c r="AW219" s="300"/>
      <c r="AX219" s="300"/>
      <c r="AY219" s="300"/>
      <c r="AZ219" s="300"/>
      <c r="BA219" s="300"/>
      <c r="BB219" s="300"/>
      <c r="BC219" s="300"/>
      <c r="BD219" s="300"/>
      <c r="BE219" s="300"/>
      <c r="BF219" s="300"/>
      <c r="BG219" s="300"/>
      <c r="BH219" s="300"/>
      <c r="BI219" s="300"/>
      <c r="BJ219" s="300"/>
      <c r="BK219" s="300"/>
      <c r="BL219" s="332" t="s">
        <v>108</v>
      </c>
      <c r="BM219" s="332" t="s">
        <v>109</v>
      </c>
      <c r="BN219" s="332" t="s">
        <v>110</v>
      </c>
      <c r="BO219" s="333" t="s">
        <v>111</v>
      </c>
      <c r="BP219" s="334" t="s">
        <v>107</v>
      </c>
      <c r="BQ219" s="332" t="s">
        <v>140</v>
      </c>
      <c r="BR219" s="332" t="s">
        <v>141</v>
      </c>
      <c r="BS219" s="333" t="s">
        <v>143</v>
      </c>
      <c r="BT219" s="334" t="s">
        <v>144</v>
      </c>
      <c r="BU219" s="332" t="s">
        <v>145</v>
      </c>
      <c r="BV219" s="332" t="s">
        <v>146</v>
      </c>
      <c r="BW219" s="333" t="s">
        <v>147</v>
      </c>
      <c r="BX219" s="334" t="s">
        <v>148</v>
      </c>
      <c r="BY219" s="332" t="s">
        <v>149</v>
      </c>
      <c r="BZ219" s="332" t="s">
        <v>151</v>
      </c>
      <c r="CA219" s="337" t="s">
        <v>158</v>
      </c>
      <c r="CB219" s="334" t="s">
        <v>164</v>
      </c>
      <c r="CC219" s="332" t="s">
        <v>165</v>
      </c>
      <c r="CD219" s="332" t="s">
        <v>166</v>
      </c>
      <c r="CE219" s="332" t="s">
        <v>167</v>
      </c>
      <c r="CF219" s="334" t="s">
        <v>196</v>
      </c>
      <c r="CG219" s="332" t="s">
        <v>198</v>
      </c>
      <c r="CH219" s="332" t="s">
        <v>200</v>
      </c>
      <c r="CI219" s="332" t="s">
        <v>202</v>
      </c>
      <c r="CJ219" s="334" t="s">
        <v>207</v>
      </c>
      <c r="CK219" s="332" t="s">
        <v>209</v>
      </c>
      <c r="CL219" s="332" t="s">
        <v>210</v>
      </c>
      <c r="CM219" s="403" t="s">
        <v>211</v>
      </c>
      <c r="CN219" s="334" t="s">
        <v>215</v>
      </c>
      <c r="CO219" s="332" t="s">
        <v>216</v>
      </c>
      <c r="CP219" s="332" t="s">
        <v>220</v>
      </c>
      <c r="CQ219" s="332" t="s">
        <v>225</v>
      </c>
      <c r="CR219" s="300"/>
      <c r="CS219" s="300"/>
      <c r="CT219" s="300"/>
      <c r="CU219" s="300"/>
      <c r="CV219" s="300"/>
      <c r="CW219" s="300"/>
      <c r="CX219" s="300"/>
      <c r="CY219" s="300"/>
      <c r="CZ219" s="300"/>
      <c r="DA219" s="300"/>
      <c r="DB219" s="300"/>
      <c r="DC219" s="300"/>
      <c r="DD219" s="300"/>
      <c r="DE219" s="300"/>
      <c r="DF219" s="300"/>
      <c r="DG219" s="300"/>
      <c r="DH219" s="300"/>
      <c r="DI219" s="300"/>
      <c r="DJ219" s="300"/>
      <c r="DK219" s="300"/>
      <c r="DL219" s="300"/>
      <c r="DM219" s="300"/>
      <c r="DN219" s="300"/>
      <c r="DO219" s="300"/>
      <c r="DP219" s="300"/>
      <c r="DQ219" s="300"/>
      <c r="DR219" s="300"/>
      <c r="DS219" s="300"/>
      <c r="DT219" s="247"/>
      <c r="DU219" s="247"/>
      <c r="DV219" s="247"/>
      <c r="DW219" s="247"/>
      <c r="DX219" s="247"/>
      <c r="DY219" s="247"/>
      <c r="DZ219" s="247"/>
      <c r="EA219" s="247"/>
      <c r="EB219" s="247"/>
      <c r="EC219" s="247"/>
      <c r="ED219" s="247"/>
      <c r="EE219" s="247"/>
      <c r="EF219" s="247"/>
      <c r="EG219" s="247"/>
      <c r="EH219" s="247"/>
      <c r="EI219" s="247"/>
      <c r="EJ219" s="247"/>
      <c r="EK219" s="247"/>
      <c r="EL219" s="247"/>
      <c r="EM219" s="247"/>
      <c r="EN219" s="247"/>
      <c r="EO219" s="247"/>
      <c r="EP219" s="247"/>
      <c r="EQ219" s="247"/>
      <c r="ER219" s="247"/>
      <c r="ES219" s="247"/>
      <c r="ET219" s="247"/>
      <c r="EU219" s="247"/>
      <c r="EV219" s="247"/>
      <c r="EW219" s="247"/>
      <c r="EX219" s="247"/>
      <c r="EY219" s="247"/>
      <c r="EZ219" s="247"/>
      <c r="FA219" s="247"/>
      <c r="FB219" s="247"/>
      <c r="FC219" s="247"/>
      <c r="FD219" s="247"/>
      <c r="FE219" s="247"/>
      <c r="FF219" s="247"/>
      <c r="FG219" s="247"/>
      <c r="FH219" s="247"/>
      <c r="FI219" s="247"/>
      <c r="FJ219" s="247"/>
      <c r="FK219" s="247"/>
      <c r="FL219" s="247"/>
      <c r="FM219" s="247"/>
    </row>
    <row r="220" spans="1:127" ht="15.75" hidden="1" outlineLevel="1">
      <c r="A220" s="98" t="s">
        <v>58</v>
      </c>
      <c r="B220" s="98" t="s">
        <v>2</v>
      </c>
      <c r="C220" s="71">
        <v>8.315</v>
      </c>
      <c r="D220" s="71">
        <v>20.97</v>
      </c>
      <c r="E220" s="71">
        <v>15.434999999999999</v>
      </c>
      <c r="F220" s="72">
        <v>14.585</v>
      </c>
      <c r="G220" s="73">
        <v>26</v>
      </c>
      <c r="H220" s="71">
        <v>22.344</v>
      </c>
      <c r="I220" s="71">
        <v>24.755999999999993</v>
      </c>
      <c r="J220" s="72">
        <f>Annually!H231-SUM(G220:I220)</f>
        <v>25</v>
      </c>
      <c r="K220" s="74">
        <v>26.464</v>
      </c>
      <c r="L220" s="75">
        <v>13.695999999999998</v>
      </c>
      <c r="M220" s="75">
        <v>26.040000000000006</v>
      </c>
      <c r="N220" s="76">
        <f>Annually!I231-Quarterly!M220-Quarterly!L220-Quarterly!K220</f>
        <v>23.599999999999994</v>
      </c>
      <c r="O220" s="74">
        <v>26.95</v>
      </c>
      <c r="P220" s="75">
        <f>50.511-O220</f>
        <v>23.561000000000003</v>
      </c>
      <c r="Q220" s="75">
        <v>25.988999999999994</v>
      </c>
      <c r="R220" s="75">
        <f>-Q220-P220-O220+Annually!J231</f>
        <v>11.900000000000006</v>
      </c>
      <c r="S220" s="74">
        <v>26.3</v>
      </c>
      <c r="T220" s="75">
        <v>22.297</v>
      </c>
      <c r="U220" s="75">
        <v>15.483</v>
      </c>
      <c r="V220" s="75">
        <v>16.817999999999998</v>
      </c>
      <c r="W220" s="74">
        <v>26.51</v>
      </c>
      <c r="X220" s="75">
        <v>25.331</v>
      </c>
      <c r="Y220" s="75">
        <v>23.059</v>
      </c>
      <c r="Z220" s="75">
        <f>Annually!L231-W220-X220-Y220</f>
        <v>0</v>
      </c>
      <c r="AA220" s="74">
        <v>19.372</v>
      </c>
      <c r="AB220" s="75">
        <v>7.753</v>
      </c>
      <c r="AC220" s="75">
        <v>16.729999999999997</v>
      </c>
      <c r="AD220" s="75">
        <f>Annually!M231-AC220-AB220-AA220</f>
        <v>13.490000000000002</v>
      </c>
      <c r="AE220" s="74">
        <v>4.414</v>
      </c>
      <c r="AF220" s="75">
        <v>0</v>
      </c>
      <c r="AG220" s="254"/>
      <c r="AH220" s="254"/>
      <c r="AI220" s="449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77">
        <v>5.321</v>
      </c>
      <c r="BM220" s="77">
        <v>11.494000000000002</v>
      </c>
      <c r="BN220" s="77">
        <v>0.9489999999999981</v>
      </c>
      <c r="BO220" s="78">
        <v>2.5199999999999996</v>
      </c>
      <c r="BP220" s="79">
        <v>8.1</v>
      </c>
      <c r="BQ220" s="80">
        <v>5.9719999999999995</v>
      </c>
      <c r="BR220" s="80">
        <v>5.2280000000000015</v>
      </c>
      <c r="BS220" s="81">
        <f>Annually!AC231-SUM(Quarterly!BP220:BR220)</f>
        <v>5.099999999999998</v>
      </c>
      <c r="BT220" s="82">
        <v>5.1</v>
      </c>
      <c r="BU220" s="83">
        <v>1.8160000000000007</v>
      </c>
      <c r="BV220" s="83">
        <v>2.5839999999999996</v>
      </c>
      <c r="BW220" s="191">
        <f>Annually!AD231-Quarterly!BV220-Quarterly!BU220-Quarterly!BT220</f>
        <v>5.699999999999999</v>
      </c>
      <c r="BX220" s="82">
        <v>4.015</v>
      </c>
      <c r="BY220" s="83">
        <f>5.038-BX220</f>
        <v>1.0230000000000006</v>
      </c>
      <c r="BZ220" s="83">
        <v>3.7620000000000005</v>
      </c>
      <c r="CA220" s="85">
        <f>-BZ220-BY220-BX220+Annually!AE231</f>
        <v>0.8999999999999986</v>
      </c>
      <c r="CB220" s="82">
        <v>5.7</v>
      </c>
      <c r="CC220" s="83">
        <v>5.8999999999999995</v>
      </c>
      <c r="CD220" s="83">
        <v>2.806</v>
      </c>
      <c r="CE220" s="83">
        <v>3.2940000000000005</v>
      </c>
      <c r="CF220" s="82">
        <v>6.861</v>
      </c>
      <c r="CG220" s="83">
        <v>6.046</v>
      </c>
      <c r="CH220" s="83">
        <v>5.593000000000001</v>
      </c>
      <c r="CI220" s="83">
        <f>Annually!AG231-CH220-CG220-CF220</f>
        <v>0</v>
      </c>
      <c r="CJ220" s="82">
        <v>6.942</v>
      </c>
      <c r="CK220" s="83">
        <v>4.100999999999999</v>
      </c>
      <c r="CL220" s="83">
        <v>6.3160000000000025</v>
      </c>
      <c r="CM220" s="85">
        <f>Annually!AH231-CL220-CK220-CJ220</f>
        <v>4.991999999999997</v>
      </c>
      <c r="CN220" s="82">
        <v>1.776</v>
      </c>
      <c r="CO220" s="83">
        <v>0</v>
      </c>
      <c r="CP220" s="83"/>
      <c r="CQ220" s="83"/>
      <c r="CR220" s="189"/>
      <c r="CS220" s="189"/>
      <c r="CT220" s="189"/>
      <c r="CU220" s="189"/>
      <c r="CV220" s="189"/>
      <c r="CW220" s="189"/>
      <c r="CX220" s="189"/>
      <c r="CY220" s="189"/>
      <c r="CZ220" s="189"/>
      <c r="DA220" s="189"/>
      <c r="DB220" s="189"/>
      <c r="DC220" s="189"/>
      <c r="DD220" s="189"/>
      <c r="DE220" s="189"/>
      <c r="DF220" s="189"/>
      <c r="DG220" s="189"/>
      <c r="DH220" s="189"/>
      <c r="DI220" s="189"/>
      <c r="DJ220" s="189"/>
      <c r="DK220" s="189"/>
      <c r="DL220" s="189"/>
      <c r="DM220" s="189"/>
      <c r="DN220" s="189"/>
      <c r="DO220" s="189"/>
      <c r="DP220" s="189"/>
      <c r="DQ220" s="189"/>
      <c r="DR220" s="189"/>
      <c r="DS220" s="189"/>
      <c r="DU220" s="63"/>
      <c r="DV220" s="63"/>
      <c r="DW220" s="63"/>
    </row>
    <row r="221" spans="1:169" s="129" customFormat="1" ht="15" hidden="1" outlineLevel="1">
      <c r="A221" s="100" t="s">
        <v>104</v>
      </c>
      <c r="B221" s="100" t="s">
        <v>93</v>
      </c>
      <c r="C221" s="101">
        <v>2.9939999999999998</v>
      </c>
      <c r="D221" s="101">
        <v>9.475999999999999</v>
      </c>
      <c r="E221" s="101">
        <v>14.486</v>
      </c>
      <c r="F221" s="102">
        <v>12.065000000000001</v>
      </c>
      <c r="G221" s="103">
        <v>18</v>
      </c>
      <c r="H221" s="101">
        <v>16.272000000000006</v>
      </c>
      <c r="I221" s="101">
        <v>19.52799999999999</v>
      </c>
      <c r="J221" s="102">
        <f>Annually!H232-SUM(G221:I221)</f>
        <v>19.900000000000006</v>
      </c>
      <c r="K221" s="180">
        <v>21.363999999999997</v>
      </c>
      <c r="L221" s="181">
        <v>11.936000000000007</v>
      </c>
      <c r="M221" s="181">
        <v>23.4</v>
      </c>
      <c r="N221" s="182">
        <f>Annually!I232-Quarterly!M221-Quarterly!L221-Quarterly!K221</f>
        <v>17.89999999999999</v>
      </c>
      <c r="O221" s="180">
        <v>22.935</v>
      </c>
      <c r="P221" s="181">
        <f>45.5-O221</f>
        <v>22.565</v>
      </c>
      <c r="Q221" s="181">
        <v>22.200000000000006</v>
      </c>
      <c r="R221" s="181">
        <f>-Q221-P221-O221+Annually!J232</f>
        <v>11</v>
      </c>
      <c r="S221" s="180">
        <v>20.6</v>
      </c>
      <c r="T221" s="181">
        <v>16.397</v>
      </c>
      <c r="U221" s="181">
        <v>12.677</v>
      </c>
      <c r="V221" s="181">
        <v>13.523999999999994</v>
      </c>
      <c r="W221" s="180">
        <v>19.6</v>
      </c>
      <c r="X221" s="181">
        <v>19.333999999999996</v>
      </c>
      <c r="Y221" s="181">
        <v>17.466</v>
      </c>
      <c r="Z221" s="181">
        <f>Annually!L232-W221-X221-Y221</f>
        <v>0</v>
      </c>
      <c r="AA221" s="180">
        <v>12.43</v>
      </c>
      <c r="AB221" s="181">
        <v>3.652000000000001</v>
      </c>
      <c r="AC221" s="181">
        <v>10.413999999999994</v>
      </c>
      <c r="AD221" s="181">
        <f>Annually!M232-AC221-AB221-AA221</f>
        <v>8.498000000000005</v>
      </c>
      <c r="AE221" s="180">
        <v>2.638</v>
      </c>
      <c r="AF221" s="181">
        <v>0</v>
      </c>
      <c r="AG221" s="257"/>
      <c r="AH221" s="257"/>
      <c r="AI221" s="450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45"/>
      <c r="BM221" s="145"/>
      <c r="BN221" s="145"/>
      <c r="BO221" s="146"/>
      <c r="BP221" s="147"/>
      <c r="BQ221" s="148"/>
      <c r="BR221" s="148"/>
      <c r="BS221" s="149"/>
      <c r="BT221" s="150"/>
      <c r="BU221" s="151"/>
      <c r="BV221" s="151"/>
      <c r="BW221" s="192"/>
      <c r="BX221" s="193"/>
      <c r="BY221" s="194"/>
      <c r="BZ221" s="194"/>
      <c r="CA221" s="195"/>
      <c r="CB221" s="193"/>
      <c r="CC221" s="194"/>
      <c r="CD221" s="194"/>
      <c r="CE221" s="194"/>
      <c r="CF221" s="193"/>
      <c r="CG221" s="194"/>
      <c r="CH221" s="194"/>
      <c r="CI221" s="194"/>
      <c r="CJ221" s="193"/>
      <c r="CK221" s="194"/>
      <c r="CL221" s="194"/>
      <c r="CM221" s="195"/>
      <c r="CN221" s="193"/>
      <c r="CO221" s="194"/>
      <c r="CP221" s="194"/>
      <c r="CQ221" s="194"/>
      <c r="CR221" s="459"/>
      <c r="CS221" s="459"/>
      <c r="CT221" s="459"/>
      <c r="CU221" s="459"/>
      <c r="CV221" s="459"/>
      <c r="CW221" s="459"/>
      <c r="CX221" s="459"/>
      <c r="CY221" s="459"/>
      <c r="CZ221" s="459"/>
      <c r="DA221" s="459"/>
      <c r="DB221" s="459"/>
      <c r="DC221" s="459"/>
      <c r="DD221" s="459"/>
      <c r="DE221" s="459"/>
      <c r="DF221" s="459"/>
      <c r="DG221" s="459"/>
      <c r="DH221" s="459"/>
      <c r="DI221" s="459"/>
      <c r="DJ221" s="459"/>
      <c r="DK221" s="459"/>
      <c r="DL221" s="459"/>
      <c r="DM221" s="459"/>
      <c r="DN221" s="459"/>
      <c r="DO221" s="459"/>
      <c r="DP221" s="459"/>
      <c r="DQ221" s="459"/>
      <c r="DR221" s="459"/>
      <c r="DS221" s="459"/>
      <c r="DT221" s="156"/>
      <c r="DU221" s="156"/>
      <c r="DV221" s="156"/>
      <c r="DW221" s="63"/>
      <c r="DX221" s="156"/>
      <c r="DY221" s="156"/>
      <c r="DZ221" s="156"/>
      <c r="EA221" s="156"/>
      <c r="EB221" s="156"/>
      <c r="EC221" s="156"/>
      <c r="ED221" s="156"/>
      <c r="EE221" s="156"/>
      <c r="EF221" s="156"/>
      <c r="EG221" s="156"/>
      <c r="EH221" s="156"/>
      <c r="EI221" s="156"/>
      <c r="EJ221" s="156"/>
      <c r="EK221" s="156"/>
      <c r="EL221" s="156"/>
      <c r="EM221" s="156"/>
      <c r="EN221" s="156"/>
      <c r="EO221" s="156"/>
      <c r="EP221" s="156"/>
      <c r="EQ221" s="156"/>
      <c r="ER221" s="156"/>
      <c r="ES221" s="156"/>
      <c r="ET221" s="156"/>
      <c r="EU221" s="156"/>
      <c r="EV221" s="156"/>
      <c r="EW221" s="156"/>
      <c r="EX221" s="156"/>
      <c r="EY221" s="156"/>
      <c r="EZ221" s="156"/>
      <c r="FA221" s="156"/>
      <c r="FB221" s="156"/>
      <c r="FC221" s="156"/>
      <c r="FD221" s="156"/>
      <c r="FE221" s="156"/>
      <c r="FF221" s="156"/>
      <c r="FG221" s="156"/>
      <c r="FH221" s="156"/>
      <c r="FI221" s="156"/>
      <c r="FJ221" s="156"/>
      <c r="FK221" s="156"/>
      <c r="FL221" s="156"/>
      <c r="FM221" s="156"/>
    </row>
    <row r="222" spans="1:127" ht="15.75" hidden="1" outlineLevel="1">
      <c r="A222" s="70" t="s">
        <v>105</v>
      </c>
      <c r="B222" s="70" t="s">
        <v>57</v>
      </c>
      <c r="C222" s="71">
        <v>0</v>
      </c>
      <c r="D222" s="71">
        <v>0</v>
      </c>
      <c r="E222" s="71">
        <v>0</v>
      </c>
      <c r="F222" s="72">
        <v>0</v>
      </c>
      <c r="G222" s="73"/>
      <c r="H222" s="71">
        <v>0</v>
      </c>
      <c r="I222" s="71">
        <v>0</v>
      </c>
      <c r="J222" s="72">
        <f>Annually!H233-SUM(G222:I222)</f>
        <v>0</v>
      </c>
      <c r="K222" s="75">
        <f aca="true" t="shared" si="625" ref="K222:U222">K224+K226+K228</f>
        <v>0</v>
      </c>
      <c r="L222" s="75">
        <f t="shared" si="625"/>
        <v>0</v>
      </c>
      <c r="M222" s="75">
        <f t="shared" si="625"/>
        <v>0</v>
      </c>
      <c r="N222" s="272">
        <f t="shared" si="625"/>
        <v>0</v>
      </c>
      <c r="O222" s="74">
        <f t="shared" si="625"/>
        <v>0</v>
      </c>
      <c r="P222" s="75">
        <f t="shared" si="625"/>
        <v>0</v>
      </c>
      <c r="Q222" s="75">
        <f t="shared" si="625"/>
        <v>0</v>
      </c>
      <c r="R222" s="272">
        <f t="shared" si="625"/>
        <v>0</v>
      </c>
      <c r="S222" s="74">
        <f t="shared" si="625"/>
        <v>0</v>
      </c>
      <c r="T222" s="75">
        <f t="shared" si="625"/>
        <v>0</v>
      </c>
      <c r="U222" s="75">
        <f t="shared" si="625"/>
        <v>0</v>
      </c>
      <c r="V222" s="75">
        <f>V224+V226+V228</f>
        <v>0</v>
      </c>
      <c r="W222" s="74">
        <f>W224+W226+W228</f>
        <v>0</v>
      </c>
      <c r="X222" s="75"/>
      <c r="Y222" s="75"/>
      <c r="Z222" s="75"/>
      <c r="AA222" s="74"/>
      <c r="AB222" s="75"/>
      <c r="AC222" s="75"/>
      <c r="AD222" s="75"/>
      <c r="AE222" s="74"/>
      <c r="AF222" s="75"/>
      <c r="AG222" s="75"/>
      <c r="AH222" s="75"/>
      <c r="AI222" s="452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77">
        <v>0</v>
      </c>
      <c r="BM222" s="77">
        <v>0</v>
      </c>
      <c r="BN222" s="77">
        <v>0</v>
      </c>
      <c r="BO222" s="78">
        <v>0</v>
      </c>
      <c r="BP222" s="79"/>
      <c r="BQ222" s="80">
        <v>0</v>
      </c>
      <c r="BR222" s="80">
        <v>0</v>
      </c>
      <c r="BS222" s="81">
        <f>Annually!AC233-SUM(Quarterly!BP222:BR222)</f>
        <v>0</v>
      </c>
      <c r="BT222" s="82"/>
      <c r="BU222" s="83">
        <v>0</v>
      </c>
      <c r="BV222" s="83">
        <v>0</v>
      </c>
      <c r="BW222" s="196">
        <f>Annually!AD233-Quarterly!BV222-Quarterly!BU222-Quarterly!BT222</f>
        <v>0</v>
      </c>
      <c r="BX222" s="175"/>
      <c r="BY222" s="197"/>
      <c r="BZ222" s="197">
        <v>0</v>
      </c>
      <c r="CA222" s="198">
        <f>-BZ222-BY222-BX222+Annually!AE233</f>
        <v>0</v>
      </c>
      <c r="CB222" s="175"/>
      <c r="CC222" s="197"/>
      <c r="CD222" s="197"/>
      <c r="CE222" s="197">
        <v>0</v>
      </c>
      <c r="CF222" s="175"/>
      <c r="CG222" s="197"/>
      <c r="CH222" s="197"/>
      <c r="CI222" s="197"/>
      <c r="CJ222" s="175"/>
      <c r="CK222" s="197"/>
      <c r="CL222" s="197"/>
      <c r="CM222" s="198"/>
      <c r="CN222" s="175"/>
      <c r="CO222" s="197"/>
      <c r="CP222" s="197"/>
      <c r="CQ222" s="197"/>
      <c r="CR222" s="210"/>
      <c r="CS222" s="210"/>
      <c r="CT222" s="210"/>
      <c r="CU222" s="210"/>
      <c r="CV222" s="210"/>
      <c r="CW222" s="210"/>
      <c r="CX222" s="210"/>
      <c r="CY222" s="210"/>
      <c r="CZ222" s="210"/>
      <c r="DA222" s="210"/>
      <c r="DB222" s="210"/>
      <c r="DC222" s="210"/>
      <c r="DD222" s="210"/>
      <c r="DE222" s="210"/>
      <c r="DF222" s="210"/>
      <c r="DG222" s="210"/>
      <c r="DH222" s="210"/>
      <c r="DI222" s="210"/>
      <c r="DJ222" s="210"/>
      <c r="DK222" s="210"/>
      <c r="DL222" s="210"/>
      <c r="DM222" s="210"/>
      <c r="DN222" s="210"/>
      <c r="DO222" s="210"/>
      <c r="DP222" s="210"/>
      <c r="DQ222" s="210"/>
      <c r="DR222" s="210"/>
      <c r="DS222" s="210"/>
      <c r="DW222" s="63"/>
    </row>
    <row r="223" spans="1:127" ht="15" hidden="1" outlineLevel="1">
      <c r="A223" s="99" t="s">
        <v>104</v>
      </c>
      <c r="B223" s="142" t="s">
        <v>93</v>
      </c>
      <c r="C223" s="101">
        <v>0</v>
      </c>
      <c r="D223" s="101">
        <v>0</v>
      </c>
      <c r="E223" s="101">
        <v>0</v>
      </c>
      <c r="F223" s="102">
        <v>0</v>
      </c>
      <c r="G223" s="103"/>
      <c r="H223" s="101">
        <v>0</v>
      </c>
      <c r="I223" s="101">
        <v>0</v>
      </c>
      <c r="J223" s="102">
        <f>Annually!H234-SUM(G223:I223)</f>
        <v>0</v>
      </c>
      <c r="K223" s="185">
        <f aca="true" t="shared" si="626" ref="K223:U223">K225+K227</f>
        <v>0</v>
      </c>
      <c r="L223" s="185">
        <f t="shared" si="626"/>
        <v>0</v>
      </c>
      <c r="M223" s="185">
        <f t="shared" si="626"/>
        <v>0</v>
      </c>
      <c r="N223" s="274">
        <f t="shared" si="626"/>
        <v>0</v>
      </c>
      <c r="O223" s="184">
        <f t="shared" si="626"/>
        <v>0</v>
      </c>
      <c r="P223" s="185">
        <f t="shared" si="626"/>
        <v>0</v>
      </c>
      <c r="Q223" s="185">
        <f t="shared" si="626"/>
        <v>0</v>
      </c>
      <c r="R223" s="274">
        <f t="shared" si="626"/>
        <v>0</v>
      </c>
      <c r="S223" s="184">
        <f t="shared" si="626"/>
        <v>0</v>
      </c>
      <c r="T223" s="185">
        <f t="shared" si="626"/>
        <v>0</v>
      </c>
      <c r="U223" s="185">
        <f t="shared" si="626"/>
        <v>0</v>
      </c>
      <c r="V223" s="185">
        <f>V225+V227</f>
        <v>0</v>
      </c>
      <c r="W223" s="184">
        <f>W225+W227</f>
        <v>0</v>
      </c>
      <c r="X223" s="185"/>
      <c r="Y223" s="185"/>
      <c r="Z223" s="185"/>
      <c r="AA223" s="184"/>
      <c r="AB223" s="185"/>
      <c r="AC223" s="185"/>
      <c r="AD223" s="185"/>
      <c r="AE223" s="184"/>
      <c r="AF223" s="185"/>
      <c r="AG223" s="185"/>
      <c r="AH223" s="185"/>
      <c r="AI223" s="453"/>
      <c r="AJ223" s="458"/>
      <c r="AK223" s="458"/>
      <c r="AL223" s="458"/>
      <c r="AM223" s="458"/>
      <c r="AN223" s="458"/>
      <c r="AO223" s="458"/>
      <c r="AP223" s="458"/>
      <c r="AQ223" s="458"/>
      <c r="AR223" s="458"/>
      <c r="AS223" s="458"/>
      <c r="AT223" s="458"/>
      <c r="AU223" s="458"/>
      <c r="AV223" s="458"/>
      <c r="AW223" s="458"/>
      <c r="AX223" s="458"/>
      <c r="AY223" s="458"/>
      <c r="AZ223" s="458"/>
      <c r="BA223" s="458"/>
      <c r="BB223" s="458"/>
      <c r="BC223" s="458"/>
      <c r="BD223" s="458"/>
      <c r="BE223" s="458"/>
      <c r="BF223" s="458"/>
      <c r="BG223" s="458"/>
      <c r="BH223" s="458"/>
      <c r="BI223" s="458"/>
      <c r="BJ223" s="458"/>
      <c r="BK223" s="458"/>
      <c r="BL223" s="158">
        <v>0</v>
      </c>
      <c r="BM223" s="158">
        <v>0</v>
      </c>
      <c r="BN223" s="158">
        <v>0</v>
      </c>
      <c r="BO223" s="159">
        <v>0</v>
      </c>
      <c r="BP223" s="160"/>
      <c r="BQ223" s="161">
        <v>0</v>
      </c>
      <c r="BR223" s="161">
        <v>0</v>
      </c>
      <c r="BS223" s="162">
        <f>Annually!AC234-SUM(Quarterly!BP223:BR223)</f>
        <v>0</v>
      </c>
      <c r="BT223" s="163"/>
      <c r="BU223" s="164">
        <v>0</v>
      </c>
      <c r="BV223" s="164">
        <v>0</v>
      </c>
      <c r="BW223" s="196">
        <f>Annually!AD234-Quarterly!BV223-Quarterly!BU223-Quarterly!BT223</f>
        <v>0</v>
      </c>
      <c r="BX223" s="175"/>
      <c r="BY223" s="197"/>
      <c r="BZ223" s="197">
        <v>0</v>
      </c>
      <c r="CA223" s="198">
        <f>-BZ223-BY223-BX223+Annually!AE234</f>
        <v>0</v>
      </c>
      <c r="CB223" s="175"/>
      <c r="CC223" s="197"/>
      <c r="CD223" s="197"/>
      <c r="CE223" s="197">
        <v>0</v>
      </c>
      <c r="CF223" s="175"/>
      <c r="CG223" s="197"/>
      <c r="CH223" s="197"/>
      <c r="CI223" s="197"/>
      <c r="CJ223" s="175"/>
      <c r="CK223" s="197"/>
      <c r="CL223" s="197"/>
      <c r="CM223" s="198"/>
      <c r="CN223" s="175"/>
      <c r="CO223" s="197"/>
      <c r="CP223" s="197"/>
      <c r="CQ223" s="197"/>
      <c r="CR223" s="210"/>
      <c r="CS223" s="210"/>
      <c r="CT223" s="210"/>
      <c r="CU223" s="210"/>
      <c r="CV223" s="210"/>
      <c r="CW223" s="210"/>
      <c r="CX223" s="210"/>
      <c r="CY223" s="210"/>
      <c r="CZ223" s="210"/>
      <c r="DA223" s="210"/>
      <c r="DB223" s="210"/>
      <c r="DC223" s="210"/>
      <c r="DD223" s="210"/>
      <c r="DE223" s="210"/>
      <c r="DF223" s="210"/>
      <c r="DG223" s="210"/>
      <c r="DH223" s="210"/>
      <c r="DI223" s="210"/>
      <c r="DJ223" s="210"/>
      <c r="DK223" s="210"/>
      <c r="DL223" s="210"/>
      <c r="DM223" s="210"/>
      <c r="DN223" s="210"/>
      <c r="DO223" s="210"/>
      <c r="DP223" s="210"/>
      <c r="DQ223" s="210"/>
      <c r="DR223" s="210"/>
      <c r="DS223" s="210"/>
      <c r="DW223" s="63"/>
    </row>
    <row r="224" spans="1:127" ht="15" hidden="1" outlineLevel="1">
      <c r="A224" s="116" t="s">
        <v>59</v>
      </c>
      <c r="B224" s="116" t="s">
        <v>60</v>
      </c>
      <c r="C224" s="101">
        <v>0</v>
      </c>
      <c r="D224" s="101">
        <v>0</v>
      </c>
      <c r="E224" s="101">
        <v>0</v>
      </c>
      <c r="F224" s="102">
        <v>0</v>
      </c>
      <c r="G224" s="103"/>
      <c r="H224" s="101">
        <v>0</v>
      </c>
      <c r="I224" s="101">
        <v>0</v>
      </c>
      <c r="J224" s="102">
        <f>Annually!H235-SUM(G224:I224)</f>
        <v>0</v>
      </c>
      <c r="K224" s="180"/>
      <c r="L224" s="181">
        <v>0</v>
      </c>
      <c r="M224" s="181">
        <v>0</v>
      </c>
      <c r="N224" s="274">
        <f>Annually!I235-Quarterly!M224-Quarterly!L224-Quarterly!K224</f>
        <v>0</v>
      </c>
      <c r="O224" s="184"/>
      <c r="P224" s="185"/>
      <c r="Q224" s="185">
        <v>0</v>
      </c>
      <c r="R224" s="274">
        <f>-Q224-P224-O224+Annually!J235</f>
        <v>0</v>
      </c>
      <c r="S224" s="184"/>
      <c r="T224" s="185">
        <v>0</v>
      </c>
      <c r="U224" s="185">
        <v>0</v>
      </c>
      <c r="V224" s="185">
        <v>0</v>
      </c>
      <c r="W224" s="184"/>
      <c r="X224" s="185"/>
      <c r="Y224" s="185"/>
      <c r="Z224" s="185"/>
      <c r="AA224" s="184"/>
      <c r="AB224" s="185"/>
      <c r="AC224" s="185"/>
      <c r="AD224" s="185"/>
      <c r="AE224" s="184"/>
      <c r="AF224" s="185"/>
      <c r="AG224" s="185"/>
      <c r="AH224" s="185"/>
      <c r="AI224" s="453"/>
      <c r="AJ224" s="458"/>
      <c r="AK224" s="458"/>
      <c r="AL224" s="458"/>
      <c r="AM224" s="458"/>
      <c r="AN224" s="458"/>
      <c r="AO224" s="458"/>
      <c r="AP224" s="458"/>
      <c r="AQ224" s="458"/>
      <c r="AR224" s="458"/>
      <c r="AS224" s="458"/>
      <c r="AT224" s="458"/>
      <c r="AU224" s="458"/>
      <c r="AV224" s="458"/>
      <c r="AW224" s="458"/>
      <c r="AX224" s="458"/>
      <c r="AY224" s="458"/>
      <c r="AZ224" s="458"/>
      <c r="BA224" s="458"/>
      <c r="BB224" s="458"/>
      <c r="BC224" s="458"/>
      <c r="BD224" s="458"/>
      <c r="BE224" s="458"/>
      <c r="BF224" s="458"/>
      <c r="BG224" s="458"/>
      <c r="BH224" s="458"/>
      <c r="BI224" s="458"/>
      <c r="BJ224" s="458"/>
      <c r="BK224" s="458"/>
      <c r="BL224" s="158">
        <v>0</v>
      </c>
      <c r="BM224" s="158">
        <v>0</v>
      </c>
      <c r="BN224" s="158">
        <v>0</v>
      </c>
      <c r="BO224" s="159">
        <v>0</v>
      </c>
      <c r="BP224" s="160"/>
      <c r="BQ224" s="161">
        <v>0</v>
      </c>
      <c r="BR224" s="161">
        <v>0</v>
      </c>
      <c r="BS224" s="162">
        <f>Annually!AC235-SUM(Quarterly!BP224:BR224)</f>
        <v>0</v>
      </c>
      <c r="BT224" s="163"/>
      <c r="BU224" s="164">
        <v>0</v>
      </c>
      <c r="BV224" s="164">
        <v>0</v>
      </c>
      <c r="BW224" s="196">
        <f>Annually!AD235-Quarterly!BV224-Quarterly!BU224-Quarterly!BT224</f>
        <v>0</v>
      </c>
      <c r="BX224" s="175"/>
      <c r="BY224" s="197"/>
      <c r="BZ224" s="197">
        <v>0</v>
      </c>
      <c r="CA224" s="198">
        <f>-BZ224-BY224-BX224+Annually!AE235</f>
        <v>0</v>
      </c>
      <c r="CB224" s="175"/>
      <c r="CC224" s="197"/>
      <c r="CD224" s="197"/>
      <c r="CE224" s="197">
        <v>0</v>
      </c>
      <c r="CF224" s="175"/>
      <c r="CG224" s="197"/>
      <c r="CH224" s="197"/>
      <c r="CI224" s="197"/>
      <c r="CJ224" s="175"/>
      <c r="CK224" s="197"/>
      <c r="CL224" s="197"/>
      <c r="CM224" s="198"/>
      <c r="CN224" s="175"/>
      <c r="CO224" s="197"/>
      <c r="CP224" s="197"/>
      <c r="CQ224" s="197"/>
      <c r="CR224" s="210"/>
      <c r="CS224" s="210"/>
      <c r="CT224" s="210"/>
      <c r="CU224" s="210"/>
      <c r="CV224" s="210"/>
      <c r="CW224" s="210"/>
      <c r="CX224" s="210"/>
      <c r="CY224" s="210"/>
      <c r="CZ224" s="210"/>
      <c r="DA224" s="210"/>
      <c r="DB224" s="210"/>
      <c r="DC224" s="210"/>
      <c r="DD224" s="210"/>
      <c r="DE224" s="210"/>
      <c r="DF224" s="210"/>
      <c r="DG224" s="210"/>
      <c r="DH224" s="210"/>
      <c r="DI224" s="210"/>
      <c r="DJ224" s="210"/>
      <c r="DK224" s="210"/>
      <c r="DL224" s="210"/>
      <c r="DM224" s="210"/>
      <c r="DN224" s="210"/>
      <c r="DO224" s="210"/>
      <c r="DP224" s="210"/>
      <c r="DQ224" s="210"/>
      <c r="DR224" s="210"/>
      <c r="DS224" s="210"/>
      <c r="DW224" s="63"/>
    </row>
    <row r="225" spans="1:127" ht="15" hidden="1" outlineLevel="1">
      <c r="A225" s="99" t="s">
        <v>104</v>
      </c>
      <c r="B225" s="142" t="s">
        <v>93</v>
      </c>
      <c r="C225" s="101">
        <v>0</v>
      </c>
      <c r="D225" s="101">
        <v>0</v>
      </c>
      <c r="E225" s="101">
        <v>0</v>
      </c>
      <c r="F225" s="102">
        <v>0</v>
      </c>
      <c r="G225" s="103"/>
      <c r="H225" s="101">
        <v>0</v>
      </c>
      <c r="I225" s="101">
        <v>0</v>
      </c>
      <c r="J225" s="102">
        <f>Annually!H236-SUM(G225:I225)</f>
        <v>0</v>
      </c>
      <c r="K225" s="180"/>
      <c r="L225" s="181">
        <v>0</v>
      </c>
      <c r="M225" s="181">
        <v>0</v>
      </c>
      <c r="N225" s="274">
        <f>Annually!I236-Quarterly!M225-Quarterly!L225-Quarterly!K225</f>
        <v>0</v>
      </c>
      <c r="O225" s="184"/>
      <c r="P225" s="185"/>
      <c r="Q225" s="185">
        <v>0</v>
      </c>
      <c r="R225" s="274">
        <f>-Q225-P225-O225+Annually!J236</f>
        <v>0</v>
      </c>
      <c r="S225" s="184"/>
      <c r="T225" s="185">
        <v>0</v>
      </c>
      <c r="U225" s="185">
        <v>0</v>
      </c>
      <c r="V225" s="185">
        <v>0</v>
      </c>
      <c r="W225" s="184"/>
      <c r="X225" s="185"/>
      <c r="Y225" s="185"/>
      <c r="Z225" s="185"/>
      <c r="AA225" s="184"/>
      <c r="AB225" s="185"/>
      <c r="AC225" s="185"/>
      <c r="AD225" s="185"/>
      <c r="AE225" s="184"/>
      <c r="AF225" s="185"/>
      <c r="AG225" s="185"/>
      <c r="AH225" s="185"/>
      <c r="AI225" s="453"/>
      <c r="AJ225" s="458"/>
      <c r="AK225" s="458"/>
      <c r="AL225" s="458"/>
      <c r="AM225" s="458"/>
      <c r="AN225" s="458"/>
      <c r="AO225" s="458"/>
      <c r="AP225" s="458"/>
      <c r="AQ225" s="458"/>
      <c r="AR225" s="458"/>
      <c r="AS225" s="458"/>
      <c r="AT225" s="458"/>
      <c r="AU225" s="458"/>
      <c r="AV225" s="458"/>
      <c r="AW225" s="458"/>
      <c r="AX225" s="458"/>
      <c r="AY225" s="458"/>
      <c r="AZ225" s="458"/>
      <c r="BA225" s="458"/>
      <c r="BB225" s="458"/>
      <c r="BC225" s="458"/>
      <c r="BD225" s="458"/>
      <c r="BE225" s="458"/>
      <c r="BF225" s="458"/>
      <c r="BG225" s="458"/>
      <c r="BH225" s="458"/>
      <c r="BI225" s="458"/>
      <c r="BJ225" s="458"/>
      <c r="BK225" s="458"/>
      <c r="BL225" s="158">
        <v>0</v>
      </c>
      <c r="BM225" s="158">
        <v>0</v>
      </c>
      <c r="BN225" s="158">
        <v>0</v>
      </c>
      <c r="BO225" s="159">
        <v>0</v>
      </c>
      <c r="BP225" s="160"/>
      <c r="BQ225" s="161">
        <v>0</v>
      </c>
      <c r="BR225" s="161">
        <v>0</v>
      </c>
      <c r="BS225" s="162">
        <f>Annually!AC236-SUM(Quarterly!BP225:BR225)</f>
        <v>0</v>
      </c>
      <c r="BT225" s="163"/>
      <c r="BU225" s="164">
        <v>0</v>
      </c>
      <c r="BV225" s="164">
        <v>0</v>
      </c>
      <c r="BW225" s="196">
        <f>Annually!AD236-Quarterly!BV225-Quarterly!BU225-Quarterly!BT225</f>
        <v>0</v>
      </c>
      <c r="BX225" s="175"/>
      <c r="BY225" s="197"/>
      <c r="BZ225" s="197">
        <v>0</v>
      </c>
      <c r="CA225" s="198">
        <f>-BZ225-BY225-BX225+Annually!AE236</f>
        <v>0</v>
      </c>
      <c r="CB225" s="175"/>
      <c r="CC225" s="197"/>
      <c r="CD225" s="197"/>
      <c r="CE225" s="197">
        <v>0</v>
      </c>
      <c r="CF225" s="175"/>
      <c r="CG225" s="197"/>
      <c r="CH225" s="197"/>
      <c r="CI225" s="197"/>
      <c r="CJ225" s="175"/>
      <c r="CK225" s="197"/>
      <c r="CL225" s="197"/>
      <c r="CM225" s="198"/>
      <c r="CN225" s="175"/>
      <c r="CO225" s="197"/>
      <c r="CP225" s="197"/>
      <c r="CQ225" s="197"/>
      <c r="CR225" s="210"/>
      <c r="CS225" s="210"/>
      <c r="CT225" s="210"/>
      <c r="CU225" s="210"/>
      <c r="CV225" s="210"/>
      <c r="CW225" s="210"/>
      <c r="CX225" s="210"/>
      <c r="CY225" s="210"/>
      <c r="CZ225" s="210"/>
      <c r="DA225" s="210"/>
      <c r="DB225" s="210"/>
      <c r="DC225" s="210"/>
      <c r="DD225" s="210"/>
      <c r="DE225" s="210"/>
      <c r="DF225" s="210"/>
      <c r="DG225" s="210"/>
      <c r="DH225" s="210"/>
      <c r="DI225" s="210"/>
      <c r="DJ225" s="210"/>
      <c r="DK225" s="210"/>
      <c r="DL225" s="210"/>
      <c r="DM225" s="210"/>
      <c r="DN225" s="210"/>
      <c r="DO225" s="210"/>
      <c r="DP225" s="210"/>
      <c r="DQ225" s="210"/>
      <c r="DR225" s="210"/>
      <c r="DS225" s="210"/>
      <c r="DW225" s="63"/>
    </row>
    <row r="226" spans="1:127" ht="15" hidden="1" outlineLevel="1">
      <c r="A226" s="116" t="s">
        <v>61</v>
      </c>
      <c r="B226" s="116" t="s">
        <v>62</v>
      </c>
      <c r="C226" s="118">
        <v>0</v>
      </c>
      <c r="D226" s="118">
        <v>0</v>
      </c>
      <c r="E226" s="118">
        <v>0</v>
      </c>
      <c r="F226" s="119">
        <v>0</v>
      </c>
      <c r="G226" s="120"/>
      <c r="H226" s="118">
        <v>0</v>
      </c>
      <c r="I226" s="118">
        <v>0</v>
      </c>
      <c r="J226" s="119">
        <f>Annually!H237-SUM(G226:I226)</f>
        <v>0</v>
      </c>
      <c r="K226" s="184"/>
      <c r="L226" s="185">
        <v>0</v>
      </c>
      <c r="M226" s="185">
        <v>0</v>
      </c>
      <c r="N226" s="274">
        <f>Annually!I237-Quarterly!M226-Quarterly!L226-Quarterly!K226</f>
        <v>0</v>
      </c>
      <c r="O226" s="184"/>
      <c r="P226" s="185"/>
      <c r="Q226" s="185">
        <v>0</v>
      </c>
      <c r="R226" s="274">
        <f>-Q226-P226-O226+Annually!J237</f>
        <v>0</v>
      </c>
      <c r="S226" s="184"/>
      <c r="T226" s="185">
        <v>0</v>
      </c>
      <c r="U226" s="185">
        <v>0</v>
      </c>
      <c r="V226" s="185">
        <v>0</v>
      </c>
      <c r="W226" s="184"/>
      <c r="X226" s="185"/>
      <c r="Y226" s="185"/>
      <c r="Z226" s="185"/>
      <c r="AA226" s="184"/>
      <c r="AB226" s="185"/>
      <c r="AC226" s="185"/>
      <c r="AD226" s="185"/>
      <c r="AE226" s="184"/>
      <c r="AF226" s="185"/>
      <c r="AG226" s="185"/>
      <c r="AH226" s="185"/>
      <c r="AI226" s="453"/>
      <c r="AJ226" s="458"/>
      <c r="AK226" s="458"/>
      <c r="AL226" s="458"/>
      <c r="AM226" s="458"/>
      <c r="AN226" s="458"/>
      <c r="AO226" s="458"/>
      <c r="AP226" s="458"/>
      <c r="AQ226" s="458"/>
      <c r="AR226" s="458"/>
      <c r="AS226" s="458"/>
      <c r="AT226" s="458"/>
      <c r="AU226" s="458"/>
      <c r="AV226" s="458"/>
      <c r="AW226" s="458"/>
      <c r="AX226" s="458"/>
      <c r="AY226" s="458"/>
      <c r="AZ226" s="458"/>
      <c r="BA226" s="458"/>
      <c r="BB226" s="458"/>
      <c r="BC226" s="458"/>
      <c r="BD226" s="458"/>
      <c r="BE226" s="458"/>
      <c r="BF226" s="458"/>
      <c r="BG226" s="458"/>
      <c r="BH226" s="458"/>
      <c r="BI226" s="458"/>
      <c r="BJ226" s="458"/>
      <c r="BK226" s="458"/>
      <c r="BL226" s="158">
        <v>0</v>
      </c>
      <c r="BM226" s="158">
        <v>0</v>
      </c>
      <c r="BN226" s="158">
        <v>0</v>
      </c>
      <c r="BO226" s="159">
        <v>0</v>
      </c>
      <c r="BP226" s="160"/>
      <c r="BQ226" s="161">
        <v>0</v>
      </c>
      <c r="BR226" s="161">
        <v>0</v>
      </c>
      <c r="BS226" s="162">
        <f>Annually!AC237-SUM(Quarterly!BP226:BR226)</f>
        <v>0</v>
      </c>
      <c r="BT226" s="163"/>
      <c r="BU226" s="164">
        <v>0</v>
      </c>
      <c r="BV226" s="164">
        <v>0</v>
      </c>
      <c r="BW226" s="196">
        <f>Annually!AD237-Quarterly!BV226-Quarterly!BU226-Quarterly!BT226</f>
        <v>0</v>
      </c>
      <c r="BX226" s="175"/>
      <c r="BY226" s="197"/>
      <c r="BZ226" s="197">
        <v>0</v>
      </c>
      <c r="CA226" s="198">
        <f>-BZ226-BY226-BX226+Annually!AE237</f>
        <v>0</v>
      </c>
      <c r="CB226" s="175"/>
      <c r="CC226" s="197"/>
      <c r="CD226" s="197"/>
      <c r="CE226" s="197">
        <v>0</v>
      </c>
      <c r="CF226" s="175"/>
      <c r="CG226" s="197"/>
      <c r="CH226" s="197"/>
      <c r="CI226" s="197"/>
      <c r="CJ226" s="175"/>
      <c r="CK226" s="197"/>
      <c r="CL226" s="197"/>
      <c r="CM226" s="198"/>
      <c r="CN226" s="175"/>
      <c r="CO226" s="197"/>
      <c r="CP226" s="197"/>
      <c r="CQ226" s="197"/>
      <c r="CR226" s="210"/>
      <c r="CS226" s="210"/>
      <c r="CT226" s="210"/>
      <c r="CU226" s="210"/>
      <c r="CV226" s="210"/>
      <c r="CW226" s="210"/>
      <c r="CX226" s="210"/>
      <c r="CY226" s="210"/>
      <c r="CZ226" s="210"/>
      <c r="DA226" s="210"/>
      <c r="DB226" s="210"/>
      <c r="DC226" s="210"/>
      <c r="DD226" s="210"/>
      <c r="DE226" s="210"/>
      <c r="DF226" s="210"/>
      <c r="DG226" s="210"/>
      <c r="DH226" s="210"/>
      <c r="DI226" s="210"/>
      <c r="DJ226" s="210"/>
      <c r="DK226" s="210"/>
      <c r="DL226" s="210"/>
      <c r="DM226" s="210"/>
      <c r="DN226" s="210"/>
      <c r="DO226" s="210"/>
      <c r="DP226" s="210"/>
      <c r="DQ226" s="210"/>
      <c r="DR226" s="210"/>
      <c r="DS226" s="210"/>
      <c r="DW226" s="63"/>
    </row>
    <row r="227" spans="1:127" ht="15" hidden="1" outlineLevel="1">
      <c r="A227" s="99" t="s">
        <v>104</v>
      </c>
      <c r="B227" s="142" t="s">
        <v>93</v>
      </c>
      <c r="C227" s="118">
        <v>0</v>
      </c>
      <c r="D227" s="118">
        <v>0</v>
      </c>
      <c r="E227" s="118">
        <v>0</v>
      </c>
      <c r="F227" s="119">
        <v>0</v>
      </c>
      <c r="G227" s="120"/>
      <c r="H227" s="118">
        <v>0</v>
      </c>
      <c r="I227" s="118">
        <v>0</v>
      </c>
      <c r="J227" s="119">
        <f>Annually!H238-SUM(G227:I227)</f>
        <v>0</v>
      </c>
      <c r="K227" s="184"/>
      <c r="L227" s="185">
        <v>0</v>
      </c>
      <c r="M227" s="185">
        <v>0</v>
      </c>
      <c r="N227" s="274">
        <f>Annually!I238-Quarterly!M227-Quarterly!L227-Quarterly!K227</f>
        <v>0</v>
      </c>
      <c r="O227" s="184"/>
      <c r="P227" s="185"/>
      <c r="Q227" s="185">
        <v>0</v>
      </c>
      <c r="R227" s="274">
        <f>-Q227-P227-O227+Annually!J238</f>
        <v>0</v>
      </c>
      <c r="S227" s="184"/>
      <c r="T227" s="185">
        <v>0</v>
      </c>
      <c r="U227" s="185">
        <v>0</v>
      </c>
      <c r="V227" s="185">
        <v>0</v>
      </c>
      <c r="W227" s="184"/>
      <c r="X227" s="185"/>
      <c r="Y227" s="185"/>
      <c r="Z227" s="185"/>
      <c r="AA227" s="184"/>
      <c r="AB227" s="185"/>
      <c r="AC227" s="185"/>
      <c r="AD227" s="185"/>
      <c r="AE227" s="184"/>
      <c r="AF227" s="185"/>
      <c r="AG227" s="185"/>
      <c r="AH227" s="185"/>
      <c r="AI227" s="453"/>
      <c r="AJ227" s="458"/>
      <c r="AK227" s="458"/>
      <c r="AL227" s="458"/>
      <c r="AM227" s="458"/>
      <c r="AN227" s="458"/>
      <c r="AO227" s="458"/>
      <c r="AP227" s="458"/>
      <c r="AQ227" s="458"/>
      <c r="AR227" s="458"/>
      <c r="AS227" s="458"/>
      <c r="AT227" s="458"/>
      <c r="AU227" s="458"/>
      <c r="AV227" s="458"/>
      <c r="AW227" s="458"/>
      <c r="AX227" s="458"/>
      <c r="AY227" s="458"/>
      <c r="AZ227" s="458"/>
      <c r="BA227" s="458"/>
      <c r="BB227" s="458"/>
      <c r="BC227" s="458"/>
      <c r="BD227" s="458"/>
      <c r="BE227" s="458"/>
      <c r="BF227" s="458"/>
      <c r="BG227" s="458"/>
      <c r="BH227" s="458"/>
      <c r="BI227" s="458"/>
      <c r="BJ227" s="458"/>
      <c r="BK227" s="458"/>
      <c r="BL227" s="158">
        <v>0</v>
      </c>
      <c r="BM227" s="158">
        <v>0</v>
      </c>
      <c r="BN227" s="158">
        <v>0</v>
      </c>
      <c r="BO227" s="159">
        <v>0</v>
      </c>
      <c r="BP227" s="160"/>
      <c r="BQ227" s="161">
        <v>0</v>
      </c>
      <c r="BR227" s="161">
        <v>0</v>
      </c>
      <c r="BS227" s="162">
        <f>Annually!AC238-SUM(Quarterly!BP227:BR227)</f>
        <v>0</v>
      </c>
      <c r="BT227" s="163"/>
      <c r="BU227" s="164">
        <v>0</v>
      </c>
      <c r="BV227" s="164">
        <v>0</v>
      </c>
      <c r="BW227" s="196">
        <f>Annually!AD238-Quarterly!BV227-Quarterly!BU227-Quarterly!BT227</f>
        <v>0</v>
      </c>
      <c r="BX227" s="175"/>
      <c r="BY227" s="197"/>
      <c r="BZ227" s="197">
        <v>0</v>
      </c>
      <c r="CA227" s="198">
        <f>-BZ227-BY227-BX227+Annually!AE238</f>
        <v>0</v>
      </c>
      <c r="CB227" s="175"/>
      <c r="CC227" s="197"/>
      <c r="CD227" s="197"/>
      <c r="CE227" s="197">
        <v>0</v>
      </c>
      <c r="CF227" s="175"/>
      <c r="CG227" s="197"/>
      <c r="CH227" s="197"/>
      <c r="CI227" s="197"/>
      <c r="CJ227" s="175"/>
      <c r="CK227" s="197"/>
      <c r="CL227" s="197"/>
      <c r="CM227" s="198"/>
      <c r="CN227" s="175"/>
      <c r="CO227" s="197"/>
      <c r="CP227" s="197"/>
      <c r="CQ227" s="197"/>
      <c r="CR227" s="210"/>
      <c r="CS227" s="210"/>
      <c r="CT227" s="210"/>
      <c r="CU227" s="210"/>
      <c r="CV227" s="210"/>
      <c r="CW227" s="210"/>
      <c r="CX227" s="210"/>
      <c r="CY227" s="210"/>
      <c r="CZ227" s="210"/>
      <c r="DA227" s="210"/>
      <c r="DB227" s="210"/>
      <c r="DC227" s="210"/>
      <c r="DD227" s="210"/>
      <c r="DE227" s="210"/>
      <c r="DF227" s="210"/>
      <c r="DG227" s="210"/>
      <c r="DH227" s="210"/>
      <c r="DI227" s="210"/>
      <c r="DJ227" s="210"/>
      <c r="DK227" s="210"/>
      <c r="DL227" s="210"/>
      <c r="DM227" s="210"/>
      <c r="DN227" s="210"/>
      <c r="DO227" s="210"/>
      <c r="DP227" s="210"/>
      <c r="DQ227" s="210"/>
      <c r="DR227" s="210"/>
      <c r="DS227" s="210"/>
      <c r="DW227" s="63"/>
    </row>
    <row r="228" spans="1:127" ht="15" hidden="1" outlineLevel="1">
      <c r="A228" s="116" t="s">
        <v>63</v>
      </c>
      <c r="B228" s="116" t="s">
        <v>64</v>
      </c>
      <c r="C228" s="118">
        <v>0</v>
      </c>
      <c r="D228" s="118">
        <v>0</v>
      </c>
      <c r="E228" s="118">
        <v>0</v>
      </c>
      <c r="F228" s="119">
        <v>0</v>
      </c>
      <c r="G228" s="120"/>
      <c r="H228" s="118">
        <v>0</v>
      </c>
      <c r="I228" s="118">
        <v>0</v>
      </c>
      <c r="J228" s="119">
        <f>Annually!H239-SUM(G228:I228)</f>
        <v>0</v>
      </c>
      <c r="K228" s="184"/>
      <c r="L228" s="185">
        <v>0</v>
      </c>
      <c r="M228" s="185">
        <v>0</v>
      </c>
      <c r="N228" s="274">
        <f>Annually!I239-Quarterly!M228-Quarterly!L228-Quarterly!K228</f>
        <v>0</v>
      </c>
      <c r="O228" s="184"/>
      <c r="P228" s="185"/>
      <c r="Q228" s="185">
        <v>0</v>
      </c>
      <c r="R228" s="274">
        <f>-Q228-P228-O228+Annually!J239</f>
        <v>0</v>
      </c>
      <c r="S228" s="184"/>
      <c r="T228" s="185">
        <v>0</v>
      </c>
      <c r="U228" s="185">
        <v>0</v>
      </c>
      <c r="V228" s="185">
        <v>0</v>
      </c>
      <c r="W228" s="184"/>
      <c r="X228" s="185"/>
      <c r="Y228" s="185"/>
      <c r="Z228" s="185"/>
      <c r="AA228" s="184"/>
      <c r="AB228" s="185"/>
      <c r="AC228" s="185"/>
      <c r="AD228" s="185"/>
      <c r="AE228" s="184"/>
      <c r="AF228" s="185"/>
      <c r="AG228" s="185"/>
      <c r="AH228" s="185"/>
      <c r="AI228" s="453"/>
      <c r="AJ228" s="458"/>
      <c r="AK228" s="458"/>
      <c r="AL228" s="458"/>
      <c r="AM228" s="458"/>
      <c r="AN228" s="458"/>
      <c r="AO228" s="458"/>
      <c r="AP228" s="458"/>
      <c r="AQ228" s="458"/>
      <c r="AR228" s="458"/>
      <c r="AS228" s="458"/>
      <c r="AT228" s="458"/>
      <c r="AU228" s="458"/>
      <c r="AV228" s="458"/>
      <c r="AW228" s="458"/>
      <c r="AX228" s="458"/>
      <c r="AY228" s="458"/>
      <c r="AZ228" s="458"/>
      <c r="BA228" s="458"/>
      <c r="BB228" s="458"/>
      <c r="BC228" s="458"/>
      <c r="BD228" s="458"/>
      <c r="BE228" s="458"/>
      <c r="BF228" s="458"/>
      <c r="BG228" s="458"/>
      <c r="BH228" s="458"/>
      <c r="BI228" s="458"/>
      <c r="BJ228" s="458"/>
      <c r="BK228" s="458"/>
      <c r="BL228" s="158">
        <v>0</v>
      </c>
      <c r="BM228" s="158">
        <v>0</v>
      </c>
      <c r="BN228" s="158">
        <v>0</v>
      </c>
      <c r="BO228" s="159">
        <v>0</v>
      </c>
      <c r="BP228" s="160"/>
      <c r="BQ228" s="161">
        <v>0</v>
      </c>
      <c r="BR228" s="161">
        <v>0</v>
      </c>
      <c r="BS228" s="162">
        <f>Annually!AC239-SUM(Quarterly!BP228:BR228)</f>
        <v>0</v>
      </c>
      <c r="BT228" s="163"/>
      <c r="BU228" s="164">
        <v>0</v>
      </c>
      <c r="BV228" s="164">
        <v>0</v>
      </c>
      <c r="BW228" s="196">
        <f>Annually!AD239-Quarterly!BV228-Quarterly!BU228-Quarterly!BT228</f>
        <v>0</v>
      </c>
      <c r="BX228" s="175"/>
      <c r="BY228" s="197"/>
      <c r="BZ228" s="197">
        <v>0</v>
      </c>
      <c r="CA228" s="198">
        <f>-BZ228-BY228-BX228+Annually!AE239</f>
        <v>0</v>
      </c>
      <c r="CB228" s="175"/>
      <c r="CC228" s="197"/>
      <c r="CD228" s="197"/>
      <c r="CE228" s="197">
        <v>0</v>
      </c>
      <c r="CF228" s="175"/>
      <c r="CG228" s="197"/>
      <c r="CH228" s="197"/>
      <c r="CI228" s="197"/>
      <c r="CJ228" s="175"/>
      <c r="CK228" s="197"/>
      <c r="CL228" s="197"/>
      <c r="CM228" s="198"/>
      <c r="CN228" s="175"/>
      <c r="CO228" s="197"/>
      <c r="CP228" s="197"/>
      <c r="CQ228" s="197"/>
      <c r="CR228" s="210"/>
      <c r="CS228" s="210"/>
      <c r="CT228" s="210"/>
      <c r="CU228" s="210"/>
      <c r="CV228" s="210"/>
      <c r="CW228" s="210"/>
      <c r="CX228" s="210"/>
      <c r="CY228" s="210"/>
      <c r="CZ228" s="210"/>
      <c r="DA228" s="210"/>
      <c r="DB228" s="210"/>
      <c r="DC228" s="210"/>
      <c r="DD228" s="210"/>
      <c r="DE228" s="210"/>
      <c r="DF228" s="210"/>
      <c r="DG228" s="210"/>
      <c r="DH228" s="210"/>
      <c r="DI228" s="210"/>
      <c r="DJ228" s="210"/>
      <c r="DK228" s="210"/>
      <c r="DL228" s="210"/>
      <c r="DM228" s="210"/>
      <c r="DN228" s="210"/>
      <c r="DO228" s="210"/>
      <c r="DP228" s="210"/>
      <c r="DQ228" s="210"/>
      <c r="DR228" s="210"/>
      <c r="DS228" s="210"/>
      <c r="DW228" s="63"/>
    </row>
    <row r="229" spans="1:127" ht="15.75" hidden="1" outlineLevel="1">
      <c r="A229" s="70" t="s">
        <v>136</v>
      </c>
      <c r="B229" s="70" t="s">
        <v>65</v>
      </c>
      <c r="C229" s="71">
        <v>79.568</v>
      </c>
      <c r="D229" s="71">
        <v>121.771</v>
      </c>
      <c r="E229" s="71">
        <v>143.79899999999998</v>
      </c>
      <c r="F229" s="72">
        <v>95.245</v>
      </c>
      <c r="G229" s="73">
        <v>151.3</v>
      </c>
      <c r="H229" s="71">
        <v>159.78999999999996</v>
      </c>
      <c r="I229" s="71">
        <v>189.31</v>
      </c>
      <c r="J229" s="72">
        <f>Annually!H240-SUM(G229:I229)</f>
        <v>190.9000000000001</v>
      </c>
      <c r="K229" s="74">
        <f>K231+K234</f>
        <v>193.9</v>
      </c>
      <c r="L229" s="75">
        <f>L231+L234</f>
        <v>179.879</v>
      </c>
      <c r="M229" s="75">
        <v>216.38200000000003</v>
      </c>
      <c r="N229" s="272">
        <f>Annually!I240-Quarterly!M229-Quarterly!L229-Quarterly!K229</f>
        <v>165.32099999999988</v>
      </c>
      <c r="O229" s="74">
        <f aca="true" t="shared" si="627" ref="O229:U229">O231+O233+O234</f>
        <v>218.183</v>
      </c>
      <c r="P229" s="75">
        <f t="shared" si="627"/>
        <v>245.09500000000003</v>
      </c>
      <c r="Q229" s="75">
        <f t="shared" si="627"/>
        <v>202.197</v>
      </c>
      <c r="R229" s="272">
        <f t="shared" si="627"/>
        <v>186.01699999999994</v>
      </c>
      <c r="S229" s="74">
        <f t="shared" si="627"/>
        <v>218.2</v>
      </c>
      <c r="T229" s="75">
        <f t="shared" si="627"/>
        <v>203</v>
      </c>
      <c r="U229" s="75">
        <f t="shared" si="627"/>
        <v>150.65099999999998</v>
      </c>
      <c r="V229" s="75">
        <f aca="true" t="shared" si="628" ref="V229:AC229">V231+V233+V234</f>
        <v>160.02800000000008</v>
      </c>
      <c r="W229" s="74">
        <f t="shared" si="628"/>
        <v>218.199</v>
      </c>
      <c r="X229" s="75">
        <f t="shared" si="628"/>
        <v>224.92000000000002</v>
      </c>
      <c r="Y229" s="75">
        <f t="shared" si="628"/>
        <v>202.68099999999993</v>
      </c>
      <c r="Z229" s="75">
        <f t="shared" si="628"/>
        <v>70.30000000000007</v>
      </c>
      <c r="AA229" s="74">
        <f t="shared" si="628"/>
        <v>168.292</v>
      </c>
      <c r="AB229" s="75">
        <f t="shared" si="628"/>
        <v>84.328</v>
      </c>
      <c r="AC229" s="75">
        <f t="shared" si="628"/>
        <v>201.88400000000004</v>
      </c>
      <c r="AD229" s="75">
        <f>AD231+AD233+AD234</f>
        <v>125.49699999999999</v>
      </c>
      <c r="AE229" s="74">
        <f>AE231+AE233+AE234</f>
        <v>66.583</v>
      </c>
      <c r="AF229" s="75">
        <f>AF231+AF233+AF234</f>
        <v>75.42099999999999</v>
      </c>
      <c r="AG229" s="75"/>
      <c r="AH229" s="75"/>
      <c r="AI229" s="452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77">
        <v>167.078</v>
      </c>
      <c r="BM229" s="77">
        <v>110.061</v>
      </c>
      <c r="BN229" s="77">
        <v>139.23199999999997</v>
      </c>
      <c r="BO229" s="78">
        <v>108.54000000000008</v>
      </c>
      <c r="BP229" s="79">
        <v>160.3</v>
      </c>
      <c r="BQ229" s="80">
        <v>123.59899999999999</v>
      </c>
      <c r="BR229" s="80">
        <v>181.601</v>
      </c>
      <c r="BS229" s="81">
        <f>Annually!AC240-SUM(Quarterly!BP229:BR229)</f>
        <v>179.69999999999993</v>
      </c>
      <c r="BT229" s="82">
        <f>BT231+BT234</f>
        <v>141.5</v>
      </c>
      <c r="BU229" s="83">
        <f>BU231+BU234</f>
        <v>219.163</v>
      </c>
      <c r="BV229" s="83">
        <v>196.53700000000003</v>
      </c>
      <c r="BW229" s="84">
        <f>Annually!AD240-Quarterly!BV229-Quarterly!BU229-Quarterly!BT229</f>
        <v>160.56999999999994</v>
      </c>
      <c r="BX229" s="83">
        <f aca="true" t="shared" si="629" ref="BX229:CE229">BX231+BX234</f>
        <v>233.293</v>
      </c>
      <c r="BY229" s="83">
        <f t="shared" si="629"/>
        <v>220.407</v>
      </c>
      <c r="BZ229" s="83">
        <f t="shared" si="629"/>
        <v>165.35500000000002</v>
      </c>
      <c r="CA229" s="85">
        <f t="shared" si="629"/>
        <v>175.54499999999985</v>
      </c>
      <c r="CB229" s="82">
        <f t="shared" si="629"/>
        <v>211.8</v>
      </c>
      <c r="CC229" s="83">
        <f t="shared" si="629"/>
        <v>241.5</v>
      </c>
      <c r="CD229" s="83">
        <f t="shared" si="629"/>
        <v>181.35</v>
      </c>
      <c r="CE229" s="83">
        <f t="shared" si="629"/>
        <v>190.74300000000002</v>
      </c>
      <c r="CF229" s="82">
        <f aca="true" t="shared" si="630" ref="CF229:CN229">CF231+CF234</f>
        <v>175.476</v>
      </c>
      <c r="CG229" s="83">
        <f t="shared" si="630"/>
        <v>197.05399999999997</v>
      </c>
      <c r="CH229" s="83">
        <f t="shared" si="630"/>
        <v>200.07000000000005</v>
      </c>
      <c r="CI229" s="83">
        <f t="shared" si="630"/>
        <v>143.10000000000002</v>
      </c>
      <c r="CJ229" s="82">
        <f t="shared" si="630"/>
        <v>146.923</v>
      </c>
      <c r="CK229" s="86">
        <f t="shared" si="630"/>
        <v>107.54500000000002</v>
      </c>
      <c r="CL229" s="86">
        <f t="shared" si="630"/>
        <v>180.06399999999996</v>
      </c>
      <c r="CM229" s="408">
        <f>CM231+CM234</f>
        <v>90.67800000000005</v>
      </c>
      <c r="CN229" s="82">
        <f t="shared" si="630"/>
        <v>107.102</v>
      </c>
      <c r="CO229" s="86">
        <f>CO231+CO234</f>
        <v>98.844</v>
      </c>
      <c r="CP229" s="86"/>
      <c r="CQ229" s="86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W229" s="63"/>
    </row>
    <row r="230" spans="1:169" s="129" customFormat="1" ht="15" hidden="1" outlineLevel="1">
      <c r="A230" s="100" t="s">
        <v>104</v>
      </c>
      <c r="B230" s="100" t="s">
        <v>93</v>
      </c>
      <c r="C230" s="101"/>
      <c r="D230" s="101"/>
      <c r="E230" s="101"/>
      <c r="F230" s="102"/>
      <c r="G230" s="103"/>
      <c r="H230" s="101"/>
      <c r="I230" s="101"/>
      <c r="J230" s="102"/>
      <c r="K230" s="181">
        <v>0</v>
      </c>
      <c r="L230" s="181">
        <v>0</v>
      </c>
      <c r="M230" s="181">
        <v>0</v>
      </c>
      <c r="N230" s="273">
        <f aca="true" t="shared" si="631" ref="N230:U230">N232</f>
        <v>0</v>
      </c>
      <c r="O230" s="180">
        <f t="shared" si="631"/>
        <v>0</v>
      </c>
      <c r="P230" s="181">
        <f t="shared" si="631"/>
        <v>0</v>
      </c>
      <c r="Q230" s="181">
        <f t="shared" si="631"/>
        <v>0</v>
      </c>
      <c r="R230" s="273">
        <f t="shared" si="631"/>
        <v>0</v>
      </c>
      <c r="S230" s="180">
        <f t="shared" si="631"/>
        <v>0</v>
      </c>
      <c r="T230" s="181">
        <f t="shared" si="631"/>
        <v>0</v>
      </c>
      <c r="U230" s="181">
        <f t="shared" si="631"/>
        <v>0</v>
      </c>
      <c r="V230" s="181">
        <f aca="true" t="shared" si="632" ref="V230:AC230">V232</f>
        <v>0</v>
      </c>
      <c r="W230" s="180">
        <f t="shared" si="632"/>
        <v>0</v>
      </c>
      <c r="X230" s="181">
        <f t="shared" si="632"/>
        <v>0</v>
      </c>
      <c r="Y230" s="181">
        <f t="shared" si="632"/>
        <v>0</v>
      </c>
      <c r="Z230" s="181">
        <f t="shared" si="632"/>
        <v>0</v>
      </c>
      <c r="AA230" s="180">
        <f t="shared" si="632"/>
        <v>0</v>
      </c>
      <c r="AB230" s="181">
        <f t="shared" si="632"/>
        <v>0</v>
      </c>
      <c r="AC230" s="181">
        <f t="shared" si="632"/>
        <v>0</v>
      </c>
      <c r="AD230" s="181">
        <f>AD232</f>
        <v>0</v>
      </c>
      <c r="AE230" s="180">
        <f>AE232</f>
        <v>0</v>
      </c>
      <c r="AF230" s="181">
        <f>AF232</f>
        <v>0</v>
      </c>
      <c r="AG230" s="181"/>
      <c r="AH230" s="181"/>
      <c r="AI230" s="454"/>
      <c r="AJ230" s="457"/>
      <c r="AK230" s="457"/>
      <c r="AL230" s="457"/>
      <c r="AM230" s="457"/>
      <c r="AN230" s="457"/>
      <c r="AO230" s="457"/>
      <c r="AP230" s="457"/>
      <c r="AQ230" s="457"/>
      <c r="AR230" s="457"/>
      <c r="AS230" s="457"/>
      <c r="AT230" s="457"/>
      <c r="AU230" s="457"/>
      <c r="AV230" s="457"/>
      <c r="AW230" s="457"/>
      <c r="AX230" s="457"/>
      <c r="AY230" s="457"/>
      <c r="AZ230" s="457"/>
      <c r="BA230" s="457"/>
      <c r="BB230" s="457"/>
      <c r="BC230" s="457"/>
      <c r="BD230" s="457"/>
      <c r="BE230" s="457"/>
      <c r="BF230" s="457"/>
      <c r="BG230" s="457"/>
      <c r="BH230" s="457"/>
      <c r="BI230" s="457"/>
      <c r="BJ230" s="457"/>
      <c r="BK230" s="457"/>
      <c r="BL230" s="145"/>
      <c r="BM230" s="145"/>
      <c r="BN230" s="145"/>
      <c r="BO230" s="146"/>
      <c r="BP230" s="147"/>
      <c r="BQ230" s="148"/>
      <c r="BR230" s="148"/>
      <c r="BS230" s="149"/>
      <c r="BT230" s="150"/>
      <c r="BU230" s="151"/>
      <c r="BV230" s="151"/>
      <c r="BW230" s="199"/>
      <c r="BX230" s="200"/>
      <c r="BY230" s="201"/>
      <c r="BZ230" s="201"/>
      <c r="CA230" s="202"/>
      <c r="CB230" s="200"/>
      <c r="CC230" s="201"/>
      <c r="CD230" s="201"/>
      <c r="CE230" s="201"/>
      <c r="CF230" s="200"/>
      <c r="CG230" s="201"/>
      <c r="CH230" s="201"/>
      <c r="CI230" s="201"/>
      <c r="CJ230" s="200"/>
      <c r="CK230" s="201"/>
      <c r="CL230" s="201"/>
      <c r="CM230" s="202"/>
      <c r="CN230" s="200"/>
      <c r="CO230" s="201"/>
      <c r="CP230" s="201"/>
      <c r="CQ230" s="201"/>
      <c r="CR230" s="460"/>
      <c r="CS230" s="460"/>
      <c r="CT230" s="460"/>
      <c r="CU230" s="460"/>
      <c r="CV230" s="460"/>
      <c r="CW230" s="460"/>
      <c r="CX230" s="460"/>
      <c r="CY230" s="460"/>
      <c r="CZ230" s="460"/>
      <c r="DA230" s="460"/>
      <c r="DB230" s="460"/>
      <c r="DC230" s="460"/>
      <c r="DD230" s="460"/>
      <c r="DE230" s="460"/>
      <c r="DF230" s="460"/>
      <c r="DG230" s="460"/>
      <c r="DH230" s="460"/>
      <c r="DI230" s="460"/>
      <c r="DJ230" s="460"/>
      <c r="DK230" s="460"/>
      <c r="DL230" s="460"/>
      <c r="DM230" s="460"/>
      <c r="DN230" s="460"/>
      <c r="DO230" s="460"/>
      <c r="DP230" s="460"/>
      <c r="DQ230" s="460"/>
      <c r="DR230" s="460"/>
      <c r="DS230" s="460"/>
      <c r="DT230" s="156"/>
      <c r="DU230" s="156"/>
      <c r="DV230" s="156"/>
      <c r="DW230" s="63"/>
      <c r="DX230" s="156"/>
      <c r="DY230" s="156"/>
      <c r="DZ230" s="156"/>
      <c r="EA230" s="156"/>
      <c r="EB230" s="156"/>
      <c r="EC230" s="156"/>
      <c r="ED230" s="156"/>
      <c r="EE230" s="156"/>
      <c r="EF230" s="156"/>
      <c r="EG230" s="156"/>
      <c r="EH230" s="156"/>
      <c r="EI230" s="156"/>
      <c r="EJ230" s="156"/>
      <c r="EK230" s="156"/>
      <c r="EL230" s="156"/>
      <c r="EM230" s="156"/>
      <c r="EN230" s="156"/>
      <c r="EO230" s="156"/>
      <c r="EP230" s="156"/>
      <c r="EQ230" s="156"/>
      <c r="ER230" s="156"/>
      <c r="ES230" s="156"/>
      <c r="ET230" s="156"/>
      <c r="EU230" s="156"/>
      <c r="EV230" s="156"/>
      <c r="EW230" s="156"/>
      <c r="EX230" s="156"/>
      <c r="EY230" s="156"/>
      <c r="EZ230" s="156"/>
      <c r="FA230" s="156"/>
      <c r="FB230" s="156"/>
      <c r="FC230" s="156"/>
      <c r="FD230" s="156"/>
      <c r="FE230" s="156"/>
      <c r="FF230" s="156"/>
      <c r="FG230" s="156"/>
      <c r="FH230" s="156"/>
      <c r="FI230" s="156"/>
      <c r="FJ230" s="156"/>
      <c r="FK230" s="156"/>
      <c r="FL230" s="156"/>
      <c r="FM230" s="156"/>
    </row>
    <row r="231" spans="1:127" ht="15" hidden="1" outlineLevel="1">
      <c r="A231" s="116" t="s">
        <v>106</v>
      </c>
      <c r="B231" s="116" t="s">
        <v>9</v>
      </c>
      <c r="C231" s="118">
        <v>79.568</v>
      </c>
      <c r="D231" s="118">
        <v>121.771</v>
      </c>
      <c r="E231" s="118">
        <v>143.799</v>
      </c>
      <c r="F231" s="119">
        <v>95.245</v>
      </c>
      <c r="G231" s="120">
        <v>151.29999999999998</v>
      </c>
      <c r="H231" s="118">
        <v>159.79</v>
      </c>
      <c r="I231" s="118">
        <v>189.31</v>
      </c>
      <c r="J231" s="119">
        <f>Annually!H242-SUM(G231:I231)</f>
        <v>190.9000000000001</v>
      </c>
      <c r="K231" s="184">
        <v>193.9</v>
      </c>
      <c r="L231" s="185">
        <v>179.879</v>
      </c>
      <c r="M231" s="185">
        <v>216.38199999999998</v>
      </c>
      <c r="N231" s="274">
        <f>Annually!I242-Quarterly!M231-Quarterly!L231-Quarterly!K231</f>
        <v>165.321</v>
      </c>
      <c r="O231" s="184">
        <v>218.183</v>
      </c>
      <c r="P231" s="185">
        <v>245.09500000000003</v>
      </c>
      <c r="Q231" s="185">
        <v>202.197</v>
      </c>
      <c r="R231" s="274">
        <f>-Q231-P231-O231+Annually!J242</f>
        <v>186.01699999999994</v>
      </c>
      <c r="S231" s="184">
        <v>218.2</v>
      </c>
      <c r="T231" s="185">
        <v>203</v>
      </c>
      <c r="U231" s="185">
        <v>150.65099999999998</v>
      </c>
      <c r="V231" s="185">
        <f>Annually!K242-U231-T231-S231</f>
        <v>160.02800000000008</v>
      </c>
      <c r="W231" s="184">
        <f>141.9+76.299</f>
        <v>218.199</v>
      </c>
      <c r="X231" s="185">
        <v>224.92000000000002</v>
      </c>
      <c r="Y231" s="185">
        <v>202.68099999999993</v>
      </c>
      <c r="Z231" s="185">
        <f>Annually!L242-W231-X231-Y231</f>
        <v>70.30000000000007</v>
      </c>
      <c r="AA231" s="184">
        <v>168.292</v>
      </c>
      <c r="AB231" s="185">
        <v>84.328</v>
      </c>
      <c r="AC231" s="185">
        <v>201.88400000000004</v>
      </c>
      <c r="AD231" s="185">
        <f>Annually!M242-AC231-AB231-AA231</f>
        <v>125.49699999999999</v>
      </c>
      <c r="AE231" s="184">
        <v>66.583</v>
      </c>
      <c r="AF231" s="185">
        <v>75.42099999999999</v>
      </c>
      <c r="AG231" s="257"/>
      <c r="AH231" s="257"/>
      <c r="AI231" s="450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58">
        <v>167.078</v>
      </c>
      <c r="BM231" s="158">
        <v>110.061</v>
      </c>
      <c r="BN231" s="158">
        <v>139.232</v>
      </c>
      <c r="BO231" s="159">
        <v>108.54</v>
      </c>
      <c r="BP231" s="160">
        <v>160.3</v>
      </c>
      <c r="BQ231" s="161">
        <v>123.599</v>
      </c>
      <c r="BR231" s="161">
        <v>181.601</v>
      </c>
      <c r="BS231" s="162">
        <f>Annually!AC242-SUM(Quarterly!BP231:BR231)</f>
        <v>179.69999999999993</v>
      </c>
      <c r="BT231" s="163">
        <v>141.5</v>
      </c>
      <c r="BU231" s="164">
        <v>219.163</v>
      </c>
      <c r="BV231" s="164">
        <v>196.537</v>
      </c>
      <c r="BW231" s="165">
        <f>Annually!AD242-Quarterly!BV231-Quarterly!BU231-Quarterly!BT231</f>
        <v>160.56999999999994</v>
      </c>
      <c r="BX231" s="163">
        <v>233.293</v>
      </c>
      <c r="BY231" s="164">
        <v>220.407</v>
      </c>
      <c r="BZ231" s="164">
        <v>165.35500000000002</v>
      </c>
      <c r="CA231" s="166">
        <f>-BZ231-BY231-BX231+Annually!AE242</f>
        <v>175.54499999999985</v>
      </c>
      <c r="CB231" s="163">
        <v>211.8</v>
      </c>
      <c r="CC231" s="164">
        <v>241.5</v>
      </c>
      <c r="CD231" s="164">
        <v>181.35</v>
      </c>
      <c r="CE231" s="164">
        <v>190.74300000000002</v>
      </c>
      <c r="CF231" s="163">
        <f>126.969+48.507</f>
        <v>175.476</v>
      </c>
      <c r="CG231" s="164">
        <v>197.05399999999997</v>
      </c>
      <c r="CH231" s="164">
        <v>200.07000000000005</v>
      </c>
      <c r="CI231" s="164">
        <f>Annually!AG242-CH231-CG231-CF231</f>
        <v>143.10000000000002</v>
      </c>
      <c r="CJ231" s="163">
        <v>146.923</v>
      </c>
      <c r="CK231" s="164">
        <v>107.54500000000002</v>
      </c>
      <c r="CL231" s="164">
        <v>180.06399999999996</v>
      </c>
      <c r="CM231" s="166">
        <f>Annually!AH242-CL231-CK231-CJ231</f>
        <v>90.67800000000005</v>
      </c>
      <c r="CN231" s="163">
        <v>107.102</v>
      </c>
      <c r="CO231" s="164">
        <v>98.844</v>
      </c>
      <c r="CP231" s="121"/>
      <c r="CQ231" s="121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U231" s="63"/>
      <c r="DW231" s="63"/>
    </row>
    <row r="232" spans="1:169" s="129" customFormat="1" ht="15" hidden="1" outlineLevel="1">
      <c r="A232" s="100" t="s">
        <v>104</v>
      </c>
      <c r="B232" s="100" t="s">
        <v>93</v>
      </c>
      <c r="C232" s="101"/>
      <c r="D232" s="101"/>
      <c r="E232" s="101"/>
      <c r="F232" s="102"/>
      <c r="G232" s="103"/>
      <c r="H232" s="101"/>
      <c r="I232" s="101"/>
      <c r="J232" s="102"/>
      <c r="K232" s="180"/>
      <c r="L232" s="181"/>
      <c r="M232" s="181"/>
      <c r="N232" s="273"/>
      <c r="O232" s="180"/>
      <c r="P232" s="181"/>
      <c r="Q232" s="181">
        <v>0</v>
      </c>
      <c r="R232" s="273">
        <f>-Q232-P232-O232+Annually!J243</f>
        <v>0</v>
      </c>
      <c r="S232" s="180"/>
      <c r="T232" s="181">
        <v>0</v>
      </c>
      <c r="U232" s="181">
        <v>0</v>
      </c>
      <c r="V232" s="181">
        <v>0</v>
      </c>
      <c r="W232" s="180">
        <v>0</v>
      </c>
      <c r="X232" s="181">
        <v>0</v>
      </c>
      <c r="Y232" s="181">
        <v>0</v>
      </c>
      <c r="Z232" s="181">
        <f>Annually!L243-W232-X232-Y232</f>
        <v>0</v>
      </c>
      <c r="AA232" s="180">
        <v>0</v>
      </c>
      <c r="AB232" s="181">
        <v>0</v>
      </c>
      <c r="AC232" s="181">
        <v>0</v>
      </c>
      <c r="AD232" s="181">
        <f>Annually!M243-AC232-AB232-AA232</f>
        <v>0</v>
      </c>
      <c r="AE232" s="180">
        <v>0</v>
      </c>
      <c r="AF232" s="181">
        <v>0</v>
      </c>
      <c r="AG232" s="181"/>
      <c r="AH232" s="181"/>
      <c r="AI232" s="454"/>
      <c r="AJ232" s="457"/>
      <c r="AK232" s="457"/>
      <c r="AL232" s="457"/>
      <c r="AM232" s="457"/>
      <c r="AN232" s="457"/>
      <c r="AO232" s="457"/>
      <c r="AP232" s="457"/>
      <c r="AQ232" s="457"/>
      <c r="AR232" s="457"/>
      <c r="AS232" s="457"/>
      <c r="AT232" s="457"/>
      <c r="AU232" s="457"/>
      <c r="AV232" s="457"/>
      <c r="AW232" s="457"/>
      <c r="AX232" s="457"/>
      <c r="AY232" s="457"/>
      <c r="AZ232" s="457"/>
      <c r="BA232" s="457"/>
      <c r="BB232" s="457"/>
      <c r="BC232" s="457"/>
      <c r="BD232" s="457"/>
      <c r="BE232" s="457"/>
      <c r="BF232" s="457"/>
      <c r="BG232" s="457"/>
      <c r="BH232" s="457"/>
      <c r="BI232" s="457"/>
      <c r="BJ232" s="457"/>
      <c r="BK232" s="457"/>
      <c r="BL232" s="145"/>
      <c r="BM232" s="145"/>
      <c r="BN232" s="145"/>
      <c r="BO232" s="146"/>
      <c r="BP232" s="147"/>
      <c r="BQ232" s="148"/>
      <c r="BR232" s="148"/>
      <c r="BS232" s="149"/>
      <c r="BT232" s="150"/>
      <c r="BU232" s="151"/>
      <c r="BV232" s="151"/>
      <c r="BW232" s="396"/>
      <c r="BX232" s="150"/>
      <c r="BY232" s="151"/>
      <c r="BZ232" s="151"/>
      <c r="CA232" s="397"/>
      <c r="CB232" s="150"/>
      <c r="CC232" s="151"/>
      <c r="CD232" s="151"/>
      <c r="CE232" s="151"/>
      <c r="CF232" s="150"/>
      <c r="CG232" s="151"/>
      <c r="CH232" s="151"/>
      <c r="CI232" s="151"/>
      <c r="CJ232" s="150"/>
      <c r="CK232" s="151"/>
      <c r="CL232" s="151"/>
      <c r="CM232" s="397"/>
      <c r="CN232" s="150"/>
      <c r="CO232" s="151"/>
      <c r="CP232" s="151"/>
      <c r="CQ232" s="151"/>
      <c r="CR232" s="457"/>
      <c r="CS232" s="457"/>
      <c r="CT232" s="457"/>
      <c r="CU232" s="457"/>
      <c r="CV232" s="457"/>
      <c r="CW232" s="457"/>
      <c r="CX232" s="457"/>
      <c r="CY232" s="457"/>
      <c r="CZ232" s="457"/>
      <c r="DA232" s="457"/>
      <c r="DB232" s="457"/>
      <c r="DC232" s="457"/>
      <c r="DD232" s="457"/>
      <c r="DE232" s="457"/>
      <c r="DF232" s="457"/>
      <c r="DG232" s="457"/>
      <c r="DH232" s="457"/>
      <c r="DI232" s="457"/>
      <c r="DJ232" s="457"/>
      <c r="DK232" s="457"/>
      <c r="DL232" s="457"/>
      <c r="DM232" s="457"/>
      <c r="DN232" s="457"/>
      <c r="DO232" s="457"/>
      <c r="DP232" s="457"/>
      <c r="DQ232" s="457"/>
      <c r="DR232" s="457"/>
      <c r="DS232" s="457"/>
      <c r="DT232" s="156"/>
      <c r="DU232" s="156"/>
      <c r="DV232" s="156"/>
      <c r="DW232" s="127"/>
      <c r="DX232" s="156"/>
      <c r="DY232" s="156"/>
      <c r="DZ232" s="156"/>
      <c r="EA232" s="156"/>
      <c r="EB232" s="156"/>
      <c r="EC232" s="156"/>
      <c r="ED232" s="156"/>
      <c r="EE232" s="156"/>
      <c r="EF232" s="156"/>
      <c r="EG232" s="156"/>
      <c r="EH232" s="156"/>
      <c r="EI232" s="156"/>
      <c r="EJ232" s="156"/>
      <c r="EK232" s="156"/>
      <c r="EL232" s="156"/>
      <c r="EM232" s="156"/>
      <c r="EN232" s="156"/>
      <c r="EO232" s="156"/>
      <c r="EP232" s="156"/>
      <c r="EQ232" s="156"/>
      <c r="ER232" s="156"/>
      <c r="ES232" s="156"/>
      <c r="ET232" s="156"/>
      <c r="EU232" s="156"/>
      <c r="EV232" s="156"/>
      <c r="EW232" s="156"/>
      <c r="EX232" s="156"/>
      <c r="EY232" s="156"/>
      <c r="EZ232" s="156"/>
      <c r="FA232" s="156"/>
      <c r="FB232" s="156"/>
      <c r="FC232" s="156"/>
      <c r="FD232" s="156"/>
      <c r="FE232" s="156"/>
      <c r="FF232" s="156"/>
      <c r="FG232" s="156"/>
      <c r="FH232" s="156"/>
      <c r="FI232" s="156"/>
      <c r="FJ232" s="156"/>
      <c r="FK232" s="156"/>
      <c r="FL232" s="156"/>
      <c r="FM232" s="156"/>
    </row>
    <row r="233" spans="1:127" ht="15.75" hidden="1" outlineLevel="1">
      <c r="A233" s="116" t="s">
        <v>68</v>
      </c>
      <c r="B233" s="117" t="s">
        <v>69</v>
      </c>
      <c r="C233" s="101">
        <v>0</v>
      </c>
      <c r="D233" s="101">
        <v>0</v>
      </c>
      <c r="E233" s="101">
        <v>0</v>
      </c>
      <c r="F233" s="102">
        <v>0</v>
      </c>
      <c r="G233" s="103"/>
      <c r="H233" s="101">
        <v>0</v>
      </c>
      <c r="I233" s="101">
        <v>0</v>
      </c>
      <c r="J233" s="102">
        <f>Annually!H244-SUM(G233:I233)</f>
        <v>0</v>
      </c>
      <c r="K233" s="180"/>
      <c r="L233" s="181">
        <v>0</v>
      </c>
      <c r="M233" s="181">
        <v>0</v>
      </c>
      <c r="N233" s="272">
        <f>Annually!I244-Quarterly!M233-Quarterly!L233-Quarterly!K233</f>
        <v>0</v>
      </c>
      <c r="O233" s="74"/>
      <c r="P233" s="75"/>
      <c r="Q233" s="75">
        <v>0</v>
      </c>
      <c r="R233" s="272">
        <f>-Q233-P233-O233+Annually!J244</f>
        <v>0</v>
      </c>
      <c r="S233" s="74"/>
      <c r="T233" s="75">
        <v>0</v>
      </c>
      <c r="U233" s="75">
        <v>0</v>
      </c>
      <c r="V233" s="75">
        <v>0</v>
      </c>
      <c r="W233" s="74"/>
      <c r="X233" s="75"/>
      <c r="Y233" s="75"/>
      <c r="Z233" s="75"/>
      <c r="AA233" s="74"/>
      <c r="AB233" s="75"/>
      <c r="AC233" s="75"/>
      <c r="AD233" s="75"/>
      <c r="AE233" s="74"/>
      <c r="AF233" s="75"/>
      <c r="AG233" s="75"/>
      <c r="AH233" s="75"/>
      <c r="AI233" s="452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58">
        <v>0</v>
      </c>
      <c r="BM233" s="158">
        <v>0</v>
      </c>
      <c r="BN233" s="158">
        <v>0</v>
      </c>
      <c r="BO233" s="159">
        <v>0</v>
      </c>
      <c r="BP233" s="160"/>
      <c r="BQ233" s="161">
        <v>0</v>
      </c>
      <c r="BR233" s="161">
        <v>0</v>
      </c>
      <c r="BS233" s="162">
        <f>Annually!AC244-SUM(Quarterly!BP233:BR233)</f>
        <v>0</v>
      </c>
      <c r="BT233" s="163"/>
      <c r="BU233" s="164">
        <v>0</v>
      </c>
      <c r="BV233" s="164">
        <v>0</v>
      </c>
      <c r="BW233" s="165">
        <f>Annually!AD244-Quarterly!BV233-Quarterly!BU233-Quarterly!BT233</f>
        <v>0</v>
      </c>
      <c r="BX233" s="163"/>
      <c r="BY233" s="164"/>
      <c r="BZ233" s="164">
        <v>0</v>
      </c>
      <c r="CA233" s="166">
        <f>-BZ233-BY233-BX233+Annually!AE244</f>
        <v>0</v>
      </c>
      <c r="CB233" s="163"/>
      <c r="CC233" s="164"/>
      <c r="CD233" s="164"/>
      <c r="CE233" s="164">
        <v>0</v>
      </c>
      <c r="CF233" s="163"/>
      <c r="CG233" s="164"/>
      <c r="CH233" s="164"/>
      <c r="CI233" s="164"/>
      <c r="CJ233" s="163"/>
      <c r="CK233" s="164"/>
      <c r="CL233" s="164"/>
      <c r="CM233" s="166"/>
      <c r="CN233" s="163"/>
      <c r="CO233" s="164"/>
      <c r="CP233" s="164"/>
      <c r="CQ233" s="164"/>
      <c r="CR233" s="458"/>
      <c r="CS233" s="458"/>
      <c r="CT233" s="458"/>
      <c r="CU233" s="458"/>
      <c r="CV233" s="458"/>
      <c r="CW233" s="458"/>
      <c r="CX233" s="458"/>
      <c r="CY233" s="458"/>
      <c r="CZ233" s="458"/>
      <c r="DA233" s="458"/>
      <c r="DB233" s="458"/>
      <c r="DC233" s="458"/>
      <c r="DD233" s="458"/>
      <c r="DE233" s="458"/>
      <c r="DF233" s="458"/>
      <c r="DG233" s="458"/>
      <c r="DH233" s="458"/>
      <c r="DI233" s="458"/>
      <c r="DJ233" s="458"/>
      <c r="DK233" s="458"/>
      <c r="DL233" s="458"/>
      <c r="DM233" s="458"/>
      <c r="DN233" s="458"/>
      <c r="DO233" s="458"/>
      <c r="DP233" s="458"/>
      <c r="DQ233" s="458"/>
      <c r="DR233" s="458"/>
      <c r="DS233" s="458"/>
      <c r="DW233" s="63"/>
    </row>
    <row r="234" spans="1:127" ht="15" hidden="1" outlineLevel="1">
      <c r="A234" s="116" t="s">
        <v>70</v>
      </c>
      <c r="B234" s="116" t="s">
        <v>135</v>
      </c>
      <c r="C234" s="118"/>
      <c r="D234" s="118"/>
      <c r="E234" s="118"/>
      <c r="F234" s="119"/>
      <c r="G234" s="120"/>
      <c r="H234" s="118"/>
      <c r="I234" s="118"/>
      <c r="J234" s="119"/>
      <c r="K234" s="184"/>
      <c r="L234" s="185"/>
      <c r="M234" s="185"/>
      <c r="N234" s="274"/>
      <c r="O234" s="184"/>
      <c r="P234" s="185"/>
      <c r="Q234" s="185"/>
      <c r="R234" s="274"/>
      <c r="S234" s="184"/>
      <c r="T234" s="185"/>
      <c r="U234" s="185"/>
      <c r="V234" s="185"/>
      <c r="W234" s="184"/>
      <c r="X234" s="185"/>
      <c r="Y234" s="185"/>
      <c r="Z234" s="185"/>
      <c r="AA234" s="184"/>
      <c r="AB234" s="185"/>
      <c r="AC234" s="185"/>
      <c r="AD234" s="185"/>
      <c r="AE234" s="184"/>
      <c r="AF234" s="185"/>
      <c r="AG234" s="185"/>
      <c r="AH234" s="185"/>
      <c r="AI234" s="453"/>
      <c r="AJ234" s="458"/>
      <c r="AK234" s="458"/>
      <c r="AL234" s="458"/>
      <c r="AM234" s="458"/>
      <c r="AN234" s="458"/>
      <c r="AO234" s="458"/>
      <c r="AP234" s="458"/>
      <c r="AQ234" s="458"/>
      <c r="AR234" s="458"/>
      <c r="AS234" s="458"/>
      <c r="AT234" s="458"/>
      <c r="AU234" s="458"/>
      <c r="AV234" s="458"/>
      <c r="AW234" s="458"/>
      <c r="AX234" s="458"/>
      <c r="AY234" s="458"/>
      <c r="AZ234" s="458"/>
      <c r="BA234" s="458"/>
      <c r="BB234" s="458"/>
      <c r="BC234" s="458"/>
      <c r="BD234" s="458"/>
      <c r="BE234" s="458"/>
      <c r="BF234" s="458"/>
      <c r="BG234" s="458"/>
      <c r="BH234" s="458"/>
      <c r="BI234" s="458"/>
      <c r="BJ234" s="458"/>
      <c r="BK234" s="458"/>
      <c r="BL234" s="158"/>
      <c r="BM234" s="158"/>
      <c r="BN234" s="158"/>
      <c r="BO234" s="159"/>
      <c r="BP234" s="160"/>
      <c r="BQ234" s="161"/>
      <c r="BR234" s="161"/>
      <c r="BS234" s="162"/>
      <c r="BT234" s="163"/>
      <c r="BU234" s="164"/>
      <c r="BV234" s="164"/>
      <c r="BW234" s="165"/>
      <c r="BX234" s="163"/>
      <c r="BY234" s="164"/>
      <c r="BZ234" s="164"/>
      <c r="CA234" s="166"/>
      <c r="CB234" s="163"/>
      <c r="CC234" s="164"/>
      <c r="CD234" s="164"/>
      <c r="CE234" s="164"/>
      <c r="CF234" s="163"/>
      <c r="CG234" s="164"/>
      <c r="CH234" s="164"/>
      <c r="CI234" s="164"/>
      <c r="CJ234" s="163"/>
      <c r="CK234" s="164"/>
      <c r="CL234" s="164"/>
      <c r="CM234" s="166"/>
      <c r="CN234" s="163"/>
      <c r="CO234" s="164"/>
      <c r="CP234" s="164"/>
      <c r="CQ234" s="164"/>
      <c r="CR234" s="458"/>
      <c r="CS234" s="458"/>
      <c r="CT234" s="458"/>
      <c r="CU234" s="458"/>
      <c r="CV234" s="458"/>
      <c r="CW234" s="458"/>
      <c r="CX234" s="458"/>
      <c r="CY234" s="458"/>
      <c r="CZ234" s="458"/>
      <c r="DA234" s="458"/>
      <c r="DB234" s="458"/>
      <c r="DC234" s="458"/>
      <c r="DD234" s="458"/>
      <c r="DE234" s="458"/>
      <c r="DF234" s="458"/>
      <c r="DG234" s="458"/>
      <c r="DH234" s="458"/>
      <c r="DI234" s="458"/>
      <c r="DJ234" s="458"/>
      <c r="DK234" s="458"/>
      <c r="DL234" s="458"/>
      <c r="DM234" s="458"/>
      <c r="DN234" s="458"/>
      <c r="DO234" s="458"/>
      <c r="DP234" s="458"/>
      <c r="DQ234" s="458"/>
      <c r="DR234" s="458"/>
      <c r="DS234" s="458"/>
      <c r="DW234" s="63"/>
    </row>
    <row r="235" spans="1:127" ht="15" hidden="1" outlineLevel="1">
      <c r="A235" s="116"/>
      <c r="B235" s="116"/>
      <c r="C235" s="118"/>
      <c r="D235" s="118"/>
      <c r="E235" s="118"/>
      <c r="F235" s="119"/>
      <c r="G235" s="120"/>
      <c r="H235" s="118"/>
      <c r="I235" s="118"/>
      <c r="J235" s="119"/>
      <c r="K235" s="184"/>
      <c r="L235" s="185"/>
      <c r="M235" s="185"/>
      <c r="N235" s="274"/>
      <c r="O235" s="184"/>
      <c r="P235" s="185"/>
      <c r="Q235" s="185"/>
      <c r="R235" s="274">
        <f>-Q235-P235-O235+Annually!J246</f>
        <v>0</v>
      </c>
      <c r="S235" s="184"/>
      <c r="T235" s="185">
        <v>0</v>
      </c>
      <c r="U235" s="185">
        <v>0</v>
      </c>
      <c r="V235" s="185">
        <v>0</v>
      </c>
      <c r="W235" s="184"/>
      <c r="X235" s="185"/>
      <c r="Y235" s="185"/>
      <c r="Z235" s="185"/>
      <c r="AA235" s="184"/>
      <c r="AB235" s="185"/>
      <c r="AC235" s="185"/>
      <c r="AD235" s="185"/>
      <c r="AE235" s="184"/>
      <c r="AF235" s="185"/>
      <c r="AG235" s="185"/>
      <c r="AH235" s="185"/>
      <c r="AI235" s="453"/>
      <c r="AJ235" s="458"/>
      <c r="AK235" s="458"/>
      <c r="AL235" s="458"/>
      <c r="AM235" s="458"/>
      <c r="AN235" s="458"/>
      <c r="AO235" s="458"/>
      <c r="AP235" s="458"/>
      <c r="AQ235" s="458"/>
      <c r="AR235" s="458"/>
      <c r="AS235" s="458"/>
      <c r="AT235" s="458"/>
      <c r="AU235" s="458"/>
      <c r="AV235" s="458"/>
      <c r="AW235" s="458"/>
      <c r="AX235" s="458"/>
      <c r="AY235" s="458"/>
      <c r="AZ235" s="458"/>
      <c r="BA235" s="458"/>
      <c r="BB235" s="458"/>
      <c r="BC235" s="458"/>
      <c r="BD235" s="458"/>
      <c r="BE235" s="458"/>
      <c r="BF235" s="458"/>
      <c r="BG235" s="458"/>
      <c r="BH235" s="458"/>
      <c r="BI235" s="458"/>
      <c r="BJ235" s="458"/>
      <c r="BK235" s="458"/>
      <c r="BL235" s="158"/>
      <c r="BM235" s="158"/>
      <c r="BN235" s="158"/>
      <c r="BO235" s="159"/>
      <c r="BP235" s="160"/>
      <c r="BQ235" s="161"/>
      <c r="BR235" s="161"/>
      <c r="BS235" s="162"/>
      <c r="BT235" s="163"/>
      <c r="BU235" s="164"/>
      <c r="BV235" s="164"/>
      <c r="BW235" s="165"/>
      <c r="BX235" s="163"/>
      <c r="BY235" s="164"/>
      <c r="BZ235" s="164"/>
      <c r="CA235" s="166">
        <f>-BZ235-BY235-BX235+Annually!AE246</f>
        <v>0</v>
      </c>
      <c r="CB235" s="163"/>
      <c r="CC235" s="164"/>
      <c r="CD235" s="164"/>
      <c r="CE235" s="164">
        <v>0</v>
      </c>
      <c r="CF235" s="163"/>
      <c r="CG235" s="164"/>
      <c r="CH235" s="164"/>
      <c r="CI235" s="164"/>
      <c r="CJ235" s="163"/>
      <c r="CK235" s="164"/>
      <c r="CL235" s="164"/>
      <c r="CM235" s="166"/>
      <c r="CN235" s="163"/>
      <c r="CO235" s="164"/>
      <c r="CP235" s="164"/>
      <c r="CQ235" s="164"/>
      <c r="CR235" s="458"/>
      <c r="CS235" s="458"/>
      <c r="CT235" s="458"/>
      <c r="CU235" s="458"/>
      <c r="CV235" s="458"/>
      <c r="CW235" s="458"/>
      <c r="CX235" s="458"/>
      <c r="CY235" s="458"/>
      <c r="CZ235" s="458"/>
      <c r="DA235" s="458"/>
      <c r="DB235" s="458"/>
      <c r="DC235" s="458"/>
      <c r="DD235" s="458"/>
      <c r="DE235" s="458"/>
      <c r="DF235" s="458"/>
      <c r="DG235" s="458"/>
      <c r="DH235" s="458"/>
      <c r="DI235" s="458"/>
      <c r="DJ235" s="458"/>
      <c r="DK235" s="458"/>
      <c r="DL235" s="458"/>
      <c r="DM235" s="458"/>
      <c r="DN235" s="458"/>
      <c r="DO235" s="458"/>
      <c r="DP235" s="458"/>
      <c r="DQ235" s="458"/>
      <c r="DR235" s="458"/>
      <c r="DS235" s="458"/>
      <c r="DW235" s="63"/>
    </row>
    <row r="236" spans="1:127" ht="15" hidden="1" outlineLevel="1">
      <c r="A236" s="116"/>
      <c r="B236" s="116"/>
      <c r="C236" s="118"/>
      <c r="D236" s="118"/>
      <c r="E236" s="118"/>
      <c r="F236" s="119"/>
      <c r="G236" s="120"/>
      <c r="H236" s="118"/>
      <c r="I236" s="118"/>
      <c r="J236" s="119"/>
      <c r="K236" s="184"/>
      <c r="L236" s="185"/>
      <c r="M236" s="185"/>
      <c r="N236" s="274"/>
      <c r="O236" s="184"/>
      <c r="P236" s="185"/>
      <c r="Q236" s="185"/>
      <c r="R236" s="274">
        <f>-Q236-P236-O236+Annually!J247</f>
        <v>0</v>
      </c>
      <c r="S236" s="184"/>
      <c r="T236" s="185">
        <v>0</v>
      </c>
      <c r="U236" s="185">
        <v>0</v>
      </c>
      <c r="V236" s="185">
        <v>0</v>
      </c>
      <c r="W236" s="184"/>
      <c r="X236" s="185"/>
      <c r="Y236" s="185"/>
      <c r="Z236" s="185"/>
      <c r="AA236" s="184"/>
      <c r="AB236" s="185"/>
      <c r="AC236" s="185"/>
      <c r="AD236" s="185"/>
      <c r="AE236" s="184"/>
      <c r="AF236" s="185"/>
      <c r="AG236" s="185"/>
      <c r="AH236" s="185"/>
      <c r="AI236" s="453"/>
      <c r="AJ236" s="458"/>
      <c r="AK236" s="458"/>
      <c r="AL236" s="458"/>
      <c r="AM236" s="458"/>
      <c r="AN236" s="458"/>
      <c r="AO236" s="458"/>
      <c r="AP236" s="458"/>
      <c r="AQ236" s="458"/>
      <c r="AR236" s="458"/>
      <c r="AS236" s="458"/>
      <c r="AT236" s="458"/>
      <c r="AU236" s="458"/>
      <c r="AV236" s="458"/>
      <c r="AW236" s="458"/>
      <c r="AX236" s="458"/>
      <c r="AY236" s="458"/>
      <c r="AZ236" s="458"/>
      <c r="BA236" s="458"/>
      <c r="BB236" s="458"/>
      <c r="BC236" s="458"/>
      <c r="BD236" s="458"/>
      <c r="BE236" s="458"/>
      <c r="BF236" s="458"/>
      <c r="BG236" s="458"/>
      <c r="BH236" s="458"/>
      <c r="BI236" s="458"/>
      <c r="BJ236" s="458"/>
      <c r="BK236" s="458"/>
      <c r="BL236" s="158"/>
      <c r="BM236" s="158"/>
      <c r="BN236" s="158"/>
      <c r="BO236" s="159"/>
      <c r="BP236" s="160"/>
      <c r="BQ236" s="161"/>
      <c r="BR236" s="161"/>
      <c r="BS236" s="162"/>
      <c r="BT236" s="163"/>
      <c r="BU236" s="164"/>
      <c r="BV236" s="164"/>
      <c r="BW236" s="165"/>
      <c r="BX236" s="163"/>
      <c r="BY236" s="164"/>
      <c r="BZ236" s="164"/>
      <c r="CA236" s="166">
        <f>-BZ236-BY236-BX236+Annually!AE247</f>
        <v>0</v>
      </c>
      <c r="CB236" s="163"/>
      <c r="CC236" s="164"/>
      <c r="CD236" s="164"/>
      <c r="CE236" s="164">
        <v>0</v>
      </c>
      <c r="CF236" s="163"/>
      <c r="CG236" s="164"/>
      <c r="CH236" s="164"/>
      <c r="CI236" s="164"/>
      <c r="CJ236" s="163"/>
      <c r="CK236" s="164"/>
      <c r="CL236" s="164"/>
      <c r="CM236" s="166"/>
      <c r="CN236" s="163"/>
      <c r="CO236" s="164"/>
      <c r="CP236" s="164"/>
      <c r="CQ236" s="164"/>
      <c r="CR236" s="458"/>
      <c r="CS236" s="458"/>
      <c r="CT236" s="458"/>
      <c r="CU236" s="458"/>
      <c r="CV236" s="458"/>
      <c r="CW236" s="458"/>
      <c r="CX236" s="458"/>
      <c r="CY236" s="458"/>
      <c r="CZ236" s="458"/>
      <c r="DA236" s="458"/>
      <c r="DB236" s="458"/>
      <c r="DC236" s="458"/>
      <c r="DD236" s="458"/>
      <c r="DE236" s="458"/>
      <c r="DF236" s="458"/>
      <c r="DG236" s="458"/>
      <c r="DH236" s="458"/>
      <c r="DI236" s="458"/>
      <c r="DJ236" s="458"/>
      <c r="DK236" s="458"/>
      <c r="DL236" s="458"/>
      <c r="DM236" s="458"/>
      <c r="DN236" s="458"/>
      <c r="DO236" s="458"/>
      <c r="DP236" s="458"/>
      <c r="DQ236" s="458"/>
      <c r="DR236" s="458"/>
      <c r="DS236" s="458"/>
      <c r="DW236" s="63"/>
    </row>
    <row r="237" spans="1:127" ht="30.75" hidden="1" outlineLevel="1">
      <c r="A237" s="70" t="s">
        <v>139</v>
      </c>
      <c r="B237" s="70" t="s">
        <v>72</v>
      </c>
      <c r="C237" s="71">
        <v>0</v>
      </c>
      <c r="D237" s="71">
        <v>0</v>
      </c>
      <c r="E237" s="71">
        <v>0</v>
      </c>
      <c r="F237" s="72">
        <v>0</v>
      </c>
      <c r="G237" s="73">
        <v>0</v>
      </c>
      <c r="H237" s="71">
        <v>0</v>
      </c>
      <c r="I237" s="71">
        <v>0</v>
      </c>
      <c r="J237" s="72">
        <f>Annually!H246-SUM(G237:I237)</f>
        <v>0</v>
      </c>
      <c r="K237" s="75">
        <f aca="true" t="shared" si="633" ref="K237:U237">K239+K241+K243+K245</f>
        <v>0</v>
      </c>
      <c r="L237" s="75">
        <f t="shared" si="633"/>
        <v>0</v>
      </c>
      <c r="M237" s="75">
        <f t="shared" si="633"/>
        <v>0</v>
      </c>
      <c r="N237" s="272">
        <f t="shared" si="633"/>
        <v>0</v>
      </c>
      <c r="O237" s="74">
        <f t="shared" si="633"/>
        <v>0</v>
      </c>
      <c r="P237" s="75">
        <f t="shared" si="633"/>
        <v>0</v>
      </c>
      <c r="Q237" s="75">
        <f t="shared" si="633"/>
        <v>0</v>
      </c>
      <c r="R237" s="272">
        <f t="shared" si="633"/>
        <v>0</v>
      </c>
      <c r="S237" s="74">
        <f t="shared" si="633"/>
        <v>0</v>
      </c>
      <c r="T237" s="75">
        <f t="shared" si="633"/>
        <v>0</v>
      </c>
      <c r="U237" s="75">
        <f t="shared" si="633"/>
        <v>0</v>
      </c>
      <c r="V237" s="75">
        <f aca="true" t="shared" si="634" ref="V237:X238">V239+V241+V243+V245</f>
        <v>0</v>
      </c>
      <c r="W237" s="74">
        <f t="shared" si="634"/>
        <v>0</v>
      </c>
      <c r="X237" s="75">
        <f t="shared" si="634"/>
        <v>0</v>
      </c>
      <c r="Y237" s="75">
        <f>Y239+Y241+Y243+Y245</f>
        <v>0</v>
      </c>
      <c r="Z237" s="75"/>
      <c r="AA237" s="74"/>
      <c r="AB237" s="75"/>
      <c r="AC237" s="75"/>
      <c r="AD237" s="75"/>
      <c r="AE237" s="74"/>
      <c r="AF237" s="75"/>
      <c r="AG237" s="75"/>
      <c r="AH237" s="75"/>
      <c r="AI237" s="452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77">
        <v>0.881</v>
      </c>
      <c r="BM237" s="77">
        <v>2.2649999999999997</v>
      </c>
      <c r="BN237" s="77">
        <v>0</v>
      </c>
      <c r="BO237" s="78">
        <v>0</v>
      </c>
      <c r="BP237" s="79">
        <v>0.1</v>
      </c>
      <c r="BQ237" s="80">
        <v>0.4024</v>
      </c>
      <c r="BR237" s="80">
        <v>-0.0023999999999999855</v>
      </c>
      <c r="BS237" s="81">
        <f>BS239</f>
        <v>1.3</v>
      </c>
      <c r="BT237" s="82">
        <v>0</v>
      </c>
      <c r="BU237" s="83">
        <v>0</v>
      </c>
      <c r="BV237" s="83">
        <v>0</v>
      </c>
      <c r="BW237" s="84">
        <f>Annually!AD246-Quarterly!BV237-Quarterly!BU237-Quarterly!BT237</f>
        <v>0</v>
      </c>
      <c r="BX237" s="82">
        <v>0</v>
      </c>
      <c r="BY237" s="83">
        <v>0</v>
      </c>
      <c r="BZ237" s="83">
        <v>0</v>
      </c>
      <c r="CA237" s="85">
        <f>-BZ237-BY237-BX237+Annually!AE248</f>
        <v>0</v>
      </c>
      <c r="CB237" s="82"/>
      <c r="CC237" s="83"/>
      <c r="CD237" s="83"/>
      <c r="CE237" s="83">
        <v>0</v>
      </c>
      <c r="CF237" s="82"/>
      <c r="CG237" s="83"/>
      <c r="CH237" s="83"/>
      <c r="CI237" s="83"/>
      <c r="CJ237" s="82"/>
      <c r="CK237" s="83"/>
      <c r="CL237" s="83"/>
      <c r="CM237" s="85"/>
      <c r="CN237" s="82"/>
      <c r="CO237" s="83"/>
      <c r="CP237" s="83"/>
      <c r="CQ237" s="83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W237" s="63"/>
    </row>
    <row r="238" spans="1:127" ht="15" hidden="1" outlineLevel="1">
      <c r="A238" s="99" t="s">
        <v>104</v>
      </c>
      <c r="B238" s="142" t="s">
        <v>93</v>
      </c>
      <c r="C238" s="118"/>
      <c r="D238" s="118"/>
      <c r="E238" s="118"/>
      <c r="F238" s="119"/>
      <c r="G238" s="120"/>
      <c r="H238" s="118"/>
      <c r="I238" s="118"/>
      <c r="J238" s="119"/>
      <c r="K238" s="185">
        <f aca="true" t="shared" si="635" ref="K238:U238">K240+K242+K244+K246</f>
        <v>0</v>
      </c>
      <c r="L238" s="185">
        <f t="shared" si="635"/>
        <v>0</v>
      </c>
      <c r="M238" s="185">
        <f t="shared" si="635"/>
        <v>0</v>
      </c>
      <c r="N238" s="274">
        <f t="shared" si="635"/>
        <v>0</v>
      </c>
      <c r="O238" s="184">
        <f t="shared" si="635"/>
        <v>0</v>
      </c>
      <c r="P238" s="185">
        <f t="shared" si="635"/>
        <v>0</v>
      </c>
      <c r="Q238" s="185">
        <f t="shared" si="635"/>
        <v>0</v>
      </c>
      <c r="R238" s="274">
        <f t="shared" si="635"/>
        <v>0</v>
      </c>
      <c r="S238" s="184">
        <f t="shared" si="635"/>
        <v>0</v>
      </c>
      <c r="T238" s="185">
        <f t="shared" si="635"/>
        <v>0</v>
      </c>
      <c r="U238" s="185">
        <f t="shared" si="635"/>
        <v>0</v>
      </c>
      <c r="V238" s="185">
        <f t="shared" si="634"/>
        <v>0</v>
      </c>
      <c r="W238" s="184">
        <f t="shared" si="634"/>
        <v>0</v>
      </c>
      <c r="X238" s="185">
        <f t="shared" si="634"/>
        <v>0</v>
      </c>
      <c r="Y238" s="185">
        <f>Y240+Y242+Y244+Y246</f>
        <v>0</v>
      </c>
      <c r="Z238" s="185"/>
      <c r="AA238" s="184"/>
      <c r="AB238" s="185"/>
      <c r="AC238" s="185"/>
      <c r="AD238" s="185"/>
      <c r="AE238" s="184"/>
      <c r="AF238" s="185"/>
      <c r="AG238" s="185"/>
      <c r="AH238" s="185"/>
      <c r="AI238" s="453"/>
      <c r="AJ238" s="458"/>
      <c r="AK238" s="458"/>
      <c r="AL238" s="458"/>
      <c r="AM238" s="458"/>
      <c r="AN238" s="458"/>
      <c r="AO238" s="458"/>
      <c r="AP238" s="458"/>
      <c r="AQ238" s="458"/>
      <c r="AR238" s="458"/>
      <c r="AS238" s="458"/>
      <c r="AT238" s="458"/>
      <c r="AU238" s="458"/>
      <c r="AV238" s="458"/>
      <c r="AW238" s="458"/>
      <c r="AX238" s="458"/>
      <c r="AY238" s="458"/>
      <c r="AZ238" s="458"/>
      <c r="BA238" s="458"/>
      <c r="BB238" s="458"/>
      <c r="BC238" s="458"/>
      <c r="BD238" s="458"/>
      <c r="BE238" s="458"/>
      <c r="BF238" s="458"/>
      <c r="BG238" s="458"/>
      <c r="BH238" s="458"/>
      <c r="BI238" s="458"/>
      <c r="BJ238" s="458"/>
      <c r="BK238" s="458"/>
      <c r="BL238" s="158"/>
      <c r="BM238" s="158"/>
      <c r="BN238" s="158"/>
      <c r="BO238" s="159"/>
      <c r="BP238" s="160"/>
      <c r="BQ238" s="161"/>
      <c r="BR238" s="161"/>
      <c r="BS238" s="162"/>
      <c r="BT238" s="163"/>
      <c r="BU238" s="164"/>
      <c r="BV238" s="164"/>
      <c r="BW238" s="165"/>
      <c r="BX238" s="203"/>
      <c r="BY238" s="164"/>
      <c r="BZ238" s="164"/>
      <c r="CA238" s="166"/>
      <c r="CB238" s="203"/>
      <c r="CC238" s="164"/>
      <c r="CD238" s="164"/>
      <c r="CE238" s="164">
        <v>0</v>
      </c>
      <c r="CF238" s="203"/>
      <c r="CG238" s="204"/>
      <c r="CH238" s="204"/>
      <c r="CI238" s="164"/>
      <c r="CJ238" s="203"/>
      <c r="CK238" s="204"/>
      <c r="CL238" s="204"/>
      <c r="CM238" s="205"/>
      <c r="CN238" s="203"/>
      <c r="CO238" s="204"/>
      <c r="CP238" s="204"/>
      <c r="CQ238" s="204"/>
      <c r="CR238" s="461"/>
      <c r="CS238" s="461"/>
      <c r="CT238" s="461"/>
      <c r="CU238" s="461"/>
      <c r="CV238" s="461"/>
      <c r="CW238" s="461"/>
      <c r="CX238" s="461"/>
      <c r="CY238" s="461"/>
      <c r="CZ238" s="461"/>
      <c r="DA238" s="461"/>
      <c r="DB238" s="461"/>
      <c r="DC238" s="461"/>
      <c r="DD238" s="461"/>
      <c r="DE238" s="461"/>
      <c r="DF238" s="461"/>
      <c r="DG238" s="461"/>
      <c r="DH238" s="461"/>
      <c r="DI238" s="461"/>
      <c r="DJ238" s="461"/>
      <c r="DK238" s="461"/>
      <c r="DL238" s="461"/>
      <c r="DM238" s="461"/>
      <c r="DN238" s="461"/>
      <c r="DO238" s="461"/>
      <c r="DP238" s="461"/>
      <c r="DQ238" s="461"/>
      <c r="DR238" s="461"/>
      <c r="DS238" s="461"/>
      <c r="DW238" s="63"/>
    </row>
    <row r="239" spans="1:127" ht="15" hidden="1" outlineLevel="1">
      <c r="A239" s="116" t="s">
        <v>73</v>
      </c>
      <c r="B239" s="116" t="s">
        <v>74</v>
      </c>
      <c r="C239" s="118">
        <v>0</v>
      </c>
      <c r="D239" s="118">
        <v>0</v>
      </c>
      <c r="E239" s="118">
        <v>0</v>
      </c>
      <c r="F239" s="119">
        <v>0</v>
      </c>
      <c r="G239" s="120">
        <v>0</v>
      </c>
      <c r="H239" s="118">
        <v>0</v>
      </c>
      <c r="I239" s="118">
        <v>0</v>
      </c>
      <c r="J239" s="119">
        <f>Annually!H248-SUM(G239:I239)</f>
        <v>0</v>
      </c>
      <c r="K239" s="184">
        <v>0</v>
      </c>
      <c r="L239" s="185">
        <v>0</v>
      </c>
      <c r="M239" s="185">
        <v>0</v>
      </c>
      <c r="N239" s="274">
        <f>Annually!I248-Quarterly!M239-Quarterly!L239-Quarterly!K239</f>
        <v>0</v>
      </c>
      <c r="O239" s="184">
        <v>0</v>
      </c>
      <c r="P239" s="185">
        <v>0</v>
      </c>
      <c r="Q239" s="185">
        <v>0</v>
      </c>
      <c r="R239" s="274">
        <f>-Q239-P239-O239+Annually!J250</f>
        <v>0</v>
      </c>
      <c r="S239" s="184"/>
      <c r="T239" s="185">
        <v>0</v>
      </c>
      <c r="U239" s="185">
        <v>0</v>
      </c>
      <c r="V239" s="185">
        <v>0</v>
      </c>
      <c r="W239" s="184"/>
      <c r="X239" s="185"/>
      <c r="Y239" s="185"/>
      <c r="Z239" s="185"/>
      <c r="AA239" s="184"/>
      <c r="AB239" s="185"/>
      <c r="AC239" s="185"/>
      <c r="AD239" s="185"/>
      <c r="AE239" s="184"/>
      <c r="AF239" s="185"/>
      <c r="AG239" s="185"/>
      <c r="AH239" s="185"/>
      <c r="AI239" s="453"/>
      <c r="AJ239" s="458"/>
      <c r="AK239" s="458"/>
      <c r="AL239" s="458"/>
      <c r="AM239" s="458"/>
      <c r="AN239" s="458"/>
      <c r="AO239" s="458"/>
      <c r="AP239" s="458"/>
      <c r="AQ239" s="458"/>
      <c r="AR239" s="458"/>
      <c r="AS239" s="458"/>
      <c r="AT239" s="458"/>
      <c r="AU239" s="458"/>
      <c r="AV239" s="458"/>
      <c r="AW239" s="458"/>
      <c r="AX239" s="458"/>
      <c r="AY239" s="458"/>
      <c r="AZ239" s="458"/>
      <c r="BA239" s="458"/>
      <c r="BB239" s="458"/>
      <c r="BC239" s="458"/>
      <c r="BD239" s="458"/>
      <c r="BE239" s="458"/>
      <c r="BF239" s="458"/>
      <c r="BG239" s="458"/>
      <c r="BH239" s="458"/>
      <c r="BI239" s="458"/>
      <c r="BJ239" s="458"/>
      <c r="BK239" s="458"/>
      <c r="BL239" s="158">
        <v>0.881</v>
      </c>
      <c r="BM239" s="158">
        <v>2.2649999999999997</v>
      </c>
      <c r="BN239" s="158">
        <v>0</v>
      </c>
      <c r="BO239" s="159">
        <v>0</v>
      </c>
      <c r="BP239" s="160">
        <v>0.1</v>
      </c>
      <c r="BQ239" s="161">
        <v>0.4024</v>
      </c>
      <c r="BR239" s="161">
        <v>-0.0023999999999999855</v>
      </c>
      <c r="BS239" s="162">
        <f>Annually!AC248-SUM(Quarterly!BP239:BR239)</f>
        <v>1.3</v>
      </c>
      <c r="BT239" s="163">
        <v>0</v>
      </c>
      <c r="BU239" s="164">
        <v>0</v>
      </c>
      <c r="BV239" s="164">
        <v>0</v>
      </c>
      <c r="BW239" s="165">
        <f>Annually!AD248-Quarterly!BV239-Quarterly!BU239-Quarterly!BT239</f>
        <v>0</v>
      </c>
      <c r="BX239" s="203">
        <v>0</v>
      </c>
      <c r="BY239" s="164">
        <v>0</v>
      </c>
      <c r="BZ239" s="164">
        <v>0</v>
      </c>
      <c r="CA239" s="166">
        <f>-BZ239-BY239-BX239+Annually!AE250</f>
        <v>0</v>
      </c>
      <c r="CB239" s="203"/>
      <c r="CC239" s="164"/>
      <c r="CD239" s="164"/>
      <c r="CE239" s="164">
        <v>0</v>
      </c>
      <c r="CF239" s="203"/>
      <c r="CG239" s="204"/>
      <c r="CH239" s="204"/>
      <c r="CI239" s="164"/>
      <c r="CJ239" s="203"/>
      <c r="CK239" s="204"/>
      <c r="CL239" s="204"/>
      <c r="CM239" s="205"/>
      <c r="CN239" s="203"/>
      <c r="CO239" s="204"/>
      <c r="CP239" s="204"/>
      <c r="CQ239" s="204"/>
      <c r="CR239" s="461"/>
      <c r="CS239" s="461"/>
      <c r="CT239" s="461"/>
      <c r="CU239" s="461"/>
      <c r="CV239" s="461"/>
      <c r="CW239" s="461"/>
      <c r="CX239" s="461"/>
      <c r="CY239" s="461"/>
      <c r="CZ239" s="461"/>
      <c r="DA239" s="461"/>
      <c r="DB239" s="461"/>
      <c r="DC239" s="461"/>
      <c r="DD239" s="461"/>
      <c r="DE239" s="461"/>
      <c r="DF239" s="461"/>
      <c r="DG239" s="461"/>
      <c r="DH239" s="461"/>
      <c r="DI239" s="461"/>
      <c r="DJ239" s="461"/>
      <c r="DK239" s="461"/>
      <c r="DL239" s="461"/>
      <c r="DM239" s="461"/>
      <c r="DN239" s="461"/>
      <c r="DO239" s="461"/>
      <c r="DP239" s="461"/>
      <c r="DQ239" s="461"/>
      <c r="DR239" s="461"/>
      <c r="DS239" s="461"/>
      <c r="DW239" s="63"/>
    </row>
    <row r="240" spans="1:127" ht="15" hidden="1" outlineLevel="1">
      <c r="A240" s="99" t="s">
        <v>104</v>
      </c>
      <c r="B240" s="142" t="s">
        <v>93</v>
      </c>
      <c r="C240" s="118">
        <v>0</v>
      </c>
      <c r="D240" s="118">
        <v>0</v>
      </c>
      <c r="E240" s="118">
        <v>0</v>
      </c>
      <c r="F240" s="119">
        <v>0</v>
      </c>
      <c r="G240" s="120"/>
      <c r="H240" s="118">
        <v>0</v>
      </c>
      <c r="I240" s="118">
        <v>0</v>
      </c>
      <c r="J240" s="119">
        <f>Annually!H249-SUM(G240:I240)</f>
        <v>0</v>
      </c>
      <c r="K240" s="184"/>
      <c r="L240" s="185">
        <v>0</v>
      </c>
      <c r="M240" s="185">
        <v>0</v>
      </c>
      <c r="N240" s="274">
        <f>Annually!I249-Quarterly!M240-Quarterly!L240-Quarterly!K240</f>
        <v>0</v>
      </c>
      <c r="O240" s="184"/>
      <c r="P240" s="185"/>
      <c r="Q240" s="185">
        <v>0</v>
      </c>
      <c r="R240" s="274">
        <f>-Q240-P240-O240+Annually!J251</f>
        <v>0</v>
      </c>
      <c r="S240" s="184"/>
      <c r="T240" s="185">
        <v>0</v>
      </c>
      <c r="U240" s="185">
        <v>0</v>
      </c>
      <c r="V240" s="185">
        <v>0</v>
      </c>
      <c r="W240" s="184"/>
      <c r="X240" s="185"/>
      <c r="Y240" s="185"/>
      <c r="Z240" s="185"/>
      <c r="AA240" s="184"/>
      <c r="AB240" s="185"/>
      <c r="AC240" s="185"/>
      <c r="AD240" s="185"/>
      <c r="AE240" s="184"/>
      <c r="AF240" s="185"/>
      <c r="AG240" s="185"/>
      <c r="AH240" s="185"/>
      <c r="AI240" s="453"/>
      <c r="AJ240" s="458"/>
      <c r="AK240" s="458"/>
      <c r="AL240" s="458"/>
      <c r="AM240" s="458"/>
      <c r="AN240" s="458"/>
      <c r="AO240" s="458"/>
      <c r="AP240" s="458"/>
      <c r="AQ240" s="458"/>
      <c r="AR240" s="458"/>
      <c r="AS240" s="458"/>
      <c r="AT240" s="458"/>
      <c r="AU240" s="458"/>
      <c r="AV240" s="458"/>
      <c r="AW240" s="458"/>
      <c r="AX240" s="458"/>
      <c r="AY240" s="458"/>
      <c r="AZ240" s="458"/>
      <c r="BA240" s="458"/>
      <c r="BB240" s="458"/>
      <c r="BC240" s="458"/>
      <c r="BD240" s="458"/>
      <c r="BE240" s="458"/>
      <c r="BF240" s="458"/>
      <c r="BG240" s="458"/>
      <c r="BH240" s="458"/>
      <c r="BI240" s="458"/>
      <c r="BJ240" s="458"/>
      <c r="BK240" s="458"/>
      <c r="BL240" s="158">
        <v>0</v>
      </c>
      <c r="BM240" s="158">
        <v>0</v>
      </c>
      <c r="BN240" s="158">
        <v>0</v>
      </c>
      <c r="BO240" s="159">
        <v>0</v>
      </c>
      <c r="BP240" s="160"/>
      <c r="BQ240" s="161">
        <v>0</v>
      </c>
      <c r="BR240" s="161">
        <v>0</v>
      </c>
      <c r="BS240" s="162">
        <f>Annually!AC249-SUM(Quarterly!BP240:BR240)</f>
        <v>0</v>
      </c>
      <c r="BT240" s="163"/>
      <c r="BU240" s="164">
        <v>0</v>
      </c>
      <c r="BV240" s="164">
        <v>0</v>
      </c>
      <c r="BW240" s="165">
        <f>Annually!AD249-Quarterly!BV240-Quarterly!BU240-Quarterly!BT240</f>
        <v>0</v>
      </c>
      <c r="BX240" s="203"/>
      <c r="BY240" s="204"/>
      <c r="BZ240" s="204">
        <v>0</v>
      </c>
      <c r="CA240" s="205">
        <f>-BZ240-BY240-BX240+Annually!AE251</f>
        <v>0</v>
      </c>
      <c r="CB240" s="203"/>
      <c r="CC240" s="204"/>
      <c r="CD240" s="204"/>
      <c r="CE240" s="204">
        <v>0</v>
      </c>
      <c r="CF240" s="203"/>
      <c r="CG240" s="204"/>
      <c r="CH240" s="204"/>
      <c r="CI240" s="204"/>
      <c r="CJ240" s="203"/>
      <c r="CK240" s="204"/>
      <c r="CL240" s="204"/>
      <c r="CM240" s="205"/>
      <c r="CN240" s="203"/>
      <c r="CO240" s="204"/>
      <c r="CP240" s="204"/>
      <c r="CQ240" s="204"/>
      <c r="CR240" s="461"/>
      <c r="CS240" s="461"/>
      <c r="CT240" s="461"/>
      <c r="CU240" s="461"/>
      <c r="CV240" s="461"/>
      <c r="CW240" s="461"/>
      <c r="CX240" s="461"/>
      <c r="CY240" s="461"/>
      <c r="CZ240" s="461"/>
      <c r="DA240" s="461"/>
      <c r="DB240" s="461"/>
      <c r="DC240" s="461"/>
      <c r="DD240" s="461"/>
      <c r="DE240" s="461"/>
      <c r="DF240" s="461"/>
      <c r="DG240" s="461"/>
      <c r="DH240" s="461"/>
      <c r="DI240" s="461"/>
      <c r="DJ240" s="461"/>
      <c r="DK240" s="461"/>
      <c r="DL240" s="461"/>
      <c r="DM240" s="461"/>
      <c r="DN240" s="461"/>
      <c r="DO240" s="461"/>
      <c r="DP240" s="461"/>
      <c r="DQ240" s="461"/>
      <c r="DR240" s="461"/>
      <c r="DS240" s="461"/>
      <c r="DW240" s="63"/>
    </row>
    <row r="241" spans="1:127" ht="15" hidden="1" outlineLevel="1">
      <c r="A241" s="116" t="s">
        <v>75</v>
      </c>
      <c r="B241" s="116" t="s">
        <v>76</v>
      </c>
      <c r="C241" s="118">
        <v>0</v>
      </c>
      <c r="D241" s="118">
        <v>0</v>
      </c>
      <c r="E241" s="118">
        <v>0</v>
      </c>
      <c r="F241" s="119">
        <v>0</v>
      </c>
      <c r="G241" s="120"/>
      <c r="H241" s="118">
        <v>0</v>
      </c>
      <c r="I241" s="118">
        <v>0</v>
      </c>
      <c r="J241" s="119">
        <f>Annually!H250-SUM(G241:I241)</f>
        <v>0</v>
      </c>
      <c r="K241" s="184"/>
      <c r="L241" s="185">
        <v>0</v>
      </c>
      <c r="M241" s="185">
        <v>0</v>
      </c>
      <c r="N241" s="274">
        <f>Annually!I250-Quarterly!M241-Quarterly!L241-Quarterly!K241</f>
        <v>0</v>
      </c>
      <c r="O241" s="184"/>
      <c r="P241" s="185"/>
      <c r="Q241" s="185">
        <v>0</v>
      </c>
      <c r="R241" s="274">
        <f>-Q241-P241-O241+Annually!J252</f>
        <v>0</v>
      </c>
      <c r="S241" s="184"/>
      <c r="T241" s="185">
        <v>0</v>
      </c>
      <c r="U241" s="185">
        <v>0</v>
      </c>
      <c r="V241" s="185">
        <v>0</v>
      </c>
      <c r="W241" s="184"/>
      <c r="X241" s="185"/>
      <c r="Y241" s="185"/>
      <c r="Z241" s="185"/>
      <c r="AA241" s="184"/>
      <c r="AB241" s="185"/>
      <c r="AC241" s="185"/>
      <c r="AD241" s="185"/>
      <c r="AE241" s="184"/>
      <c r="AF241" s="185"/>
      <c r="AG241" s="185"/>
      <c r="AH241" s="185"/>
      <c r="AI241" s="453"/>
      <c r="AJ241" s="458"/>
      <c r="AK241" s="458"/>
      <c r="AL241" s="458"/>
      <c r="AM241" s="458"/>
      <c r="AN241" s="458"/>
      <c r="AO241" s="458"/>
      <c r="AP241" s="458"/>
      <c r="AQ241" s="458"/>
      <c r="AR241" s="458"/>
      <c r="AS241" s="458"/>
      <c r="AT241" s="458"/>
      <c r="AU241" s="458"/>
      <c r="AV241" s="458"/>
      <c r="AW241" s="458"/>
      <c r="AX241" s="458"/>
      <c r="AY241" s="458"/>
      <c r="AZ241" s="458"/>
      <c r="BA241" s="458"/>
      <c r="BB241" s="458"/>
      <c r="BC241" s="458"/>
      <c r="BD241" s="458"/>
      <c r="BE241" s="458"/>
      <c r="BF241" s="458"/>
      <c r="BG241" s="458"/>
      <c r="BH241" s="458"/>
      <c r="BI241" s="458"/>
      <c r="BJ241" s="458"/>
      <c r="BK241" s="458"/>
      <c r="BL241" s="158">
        <v>0</v>
      </c>
      <c r="BM241" s="158">
        <v>0</v>
      </c>
      <c r="BN241" s="158">
        <v>0</v>
      </c>
      <c r="BO241" s="159">
        <v>0</v>
      </c>
      <c r="BP241" s="160"/>
      <c r="BQ241" s="161">
        <v>0</v>
      </c>
      <c r="BR241" s="161">
        <v>0</v>
      </c>
      <c r="BS241" s="162">
        <f>Annually!AC250-SUM(Quarterly!BP241:BR241)</f>
        <v>1.8</v>
      </c>
      <c r="BT241" s="163"/>
      <c r="BU241" s="164">
        <v>0</v>
      </c>
      <c r="BV241" s="164">
        <v>0</v>
      </c>
      <c r="BW241" s="165">
        <f>Annually!AD250-Quarterly!BV241-Quarterly!BU241-Quarterly!BT241</f>
        <v>0</v>
      </c>
      <c r="BX241" s="203"/>
      <c r="BY241" s="204"/>
      <c r="BZ241" s="204">
        <v>0</v>
      </c>
      <c r="CA241" s="205">
        <f>-BZ241-BY241-BX241+Annually!AE252</f>
        <v>0</v>
      </c>
      <c r="CB241" s="203"/>
      <c r="CC241" s="204"/>
      <c r="CD241" s="204"/>
      <c r="CE241" s="204">
        <v>0</v>
      </c>
      <c r="CF241" s="203"/>
      <c r="CG241" s="204"/>
      <c r="CH241" s="204"/>
      <c r="CI241" s="204"/>
      <c r="CJ241" s="203"/>
      <c r="CK241" s="204"/>
      <c r="CL241" s="204"/>
      <c r="CM241" s="205"/>
      <c r="CN241" s="203"/>
      <c r="CO241" s="204"/>
      <c r="CP241" s="204"/>
      <c r="CQ241" s="204"/>
      <c r="CR241" s="461"/>
      <c r="CS241" s="461"/>
      <c r="CT241" s="461"/>
      <c r="CU241" s="461"/>
      <c r="CV241" s="461"/>
      <c r="CW241" s="461"/>
      <c r="CX241" s="461"/>
      <c r="CY241" s="461"/>
      <c r="CZ241" s="461"/>
      <c r="DA241" s="461"/>
      <c r="DB241" s="461"/>
      <c r="DC241" s="461"/>
      <c r="DD241" s="461"/>
      <c r="DE241" s="461"/>
      <c r="DF241" s="461"/>
      <c r="DG241" s="461"/>
      <c r="DH241" s="461"/>
      <c r="DI241" s="461"/>
      <c r="DJ241" s="461"/>
      <c r="DK241" s="461"/>
      <c r="DL241" s="461"/>
      <c r="DM241" s="461"/>
      <c r="DN241" s="461"/>
      <c r="DO241" s="461"/>
      <c r="DP241" s="461"/>
      <c r="DQ241" s="461"/>
      <c r="DR241" s="461"/>
      <c r="DS241" s="461"/>
      <c r="DW241" s="63"/>
    </row>
    <row r="242" spans="1:127" ht="15" hidden="1" outlineLevel="1">
      <c r="A242" s="99" t="s">
        <v>104</v>
      </c>
      <c r="B242" s="142" t="s">
        <v>93</v>
      </c>
      <c r="C242" s="118">
        <v>0</v>
      </c>
      <c r="D242" s="118">
        <v>0</v>
      </c>
      <c r="E242" s="118">
        <v>0</v>
      </c>
      <c r="F242" s="119">
        <v>0</v>
      </c>
      <c r="G242" s="120"/>
      <c r="H242" s="118">
        <v>0</v>
      </c>
      <c r="I242" s="118">
        <v>0</v>
      </c>
      <c r="J242" s="119">
        <f>Annually!H251-SUM(G242:I242)</f>
        <v>0</v>
      </c>
      <c r="K242" s="184"/>
      <c r="L242" s="185">
        <v>0</v>
      </c>
      <c r="M242" s="185">
        <v>0</v>
      </c>
      <c r="N242" s="274">
        <f>Annually!I251-Quarterly!M242-Quarterly!L242-Quarterly!K242</f>
        <v>0</v>
      </c>
      <c r="O242" s="184"/>
      <c r="P242" s="185"/>
      <c r="Q242" s="185">
        <v>0</v>
      </c>
      <c r="R242" s="274">
        <f>-Q242-P242-O242+Annually!J253</f>
        <v>0</v>
      </c>
      <c r="S242" s="184"/>
      <c r="T242" s="185">
        <v>0</v>
      </c>
      <c r="U242" s="185">
        <v>0</v>
      </c>
      <c r="V242" s="185">
        <v>0</v>
      </c>
      <c r="W242" s="184"/>
      <c r="X242" s="185"/>
      <c r="Y242" s="185"/>
      <c r="Z242" s="185"/>
      <c r="AA242" s="184"/>
      <c r="AB242" s="185"/>
      <c r="AC242" s="185"/>
      <c r="AD242" s="185"/>
      <c r="AE242" s="184"/>
      <c r="AF242" s="185"/>
      <c r="AG242" s="185"/>
      <c r="AH242" s="185"/>
      <c r="AI242" s="453"/>
      <c r="AJ242" s="458"/>
      <c r="AK242" s="458"/>
      <c r="AL242" s="458"/>
      <c r="AM242" s="458"/>
      <c r="AN242" s="458"/>
      <c r="AO242" s="458"/>
      <c r="AP242" s="458"/>
      <c r="AQ242" s="458"/>
      <c r="AR242" s="458"/>
      <c r="AS242" s="458"/>
      <c r="AT242" s="458"/>
      <c r="AU242" s="458"/>
      <c r="AV242" s="458"/>
      <c r="AW242" s="458"/>
      <c r="AX242" s="458"/>
      <c r="AY242" s="458"/>
      <c r="AZ242" s="458"/>
      <c r="BA242" s="458"/>
      <c r="BB242" s="458"/>
      <c r="BC242" s="458"/>
      <c r="BD242" s="458"/>
      <c r="BE242" s="458"/>
      <c r="BF242" s="458"/>
      <c r="BG242" s="458"/>
      <c r="BH242" s="458"/>
      <c r="BI242" s="458"/>
      <c r="BJ242" s="458"/>
      <c r="BK242" s="458"/>
      <c r="BL242" s="158">
        <v>0</v>
      </c>
      <c r="BM242" s="158">
        <v>0</v>
      </c>
      <c r="BN242" s="158">
        <v>0</v>
      </c>
      <c r="BO242" s="159">
        <v>0</v>
      </c>
      <c r="BP242" s="160"/>
      <c r="BQ242" s="161">
        <v>0</v>
      </c>
      <c r="BR242" s="161">
        <v>0</v>
      </c>
      <c r="BS242" s="162">
        <f>Annually!AC251-SUM(Quarterly!BP242:BR242)</f>
        <v>0</v>
      </c>
      <c r="BT242" s="163"/>
      <c r="BU242" s="164">
        <v>0</v>
      </c>
      <c r="BV242" s="164">
        <v>0</v>
      </c>
      <c r="BW242" s="165">
        <f>Annually!AD251-Quarterly!BV242-Quarterly!BU242-Quarterly!BT242</f>
        <v>0</v>
      </c>
      <c r="BX242" s="203"/>
      <c r="BY242" s="204"/>
      <c r="BZ242" s="204">
        <v>0</v>
      </c>
      <c r="CA242" s="205">
        <f>-BZ242-BY242-BX242+Annually!AE253</f>
        <v>0</v>
      </c>
      <c r="CB242" s="203"/>
      <c r="CC242" s="204"/>
      <c r="CD242" s="204"/>
      <c r="CE242" s="204">
        <v>0</v>
      </c>
      <c r="CF242" s="203"/>
      <c r="CG242" s="204"/>
      <c r="CH242" s="204"/>
      <c r="CI242" s="204"/>
      <c r="CJ242" s="203"/>
      <c r="CK242" s="204"/>
      <c r="CL242" s="204"/>
      <c r="CM242" s="205"/>
      <c r="CN242" s="203"/>
      <c r="CO242" s="204"/>
      <c r="CP242" s="204"/>
      <c r="CQ242" s="204"/>
      <c r="CR242" s="461"/>
      <c r="CS242" s="461"/>
      <c r="CT242" s="461"/>
      <c r="CU242" s="461"/>
      <c r="CV242" s="461"/>
      <c r="CW242" s="461"/>
      <c r="CX242" s="461"/>
      <c r="CY242" s="461"/>
      <c r="CZ242" s="461"/>
      <c r="DA242" s="461"/>
      <c r="DB242" s="461"/>
      <c r="DC242" s="461"/>
      <c r="DD242" s="461"/>
      <c r="DE242" s="461"/>
      <c r="DF242" s="461"/>
      <c r="DG242" s="461"/>
      <c r="DH242" s="461"/>
      <c r="DI242" s="461"/>
      <c r="DJ242" s="461"/>
      <c r="DK242" s="461"/>
      <c r="DL242" s="461"/>
      <c r="DM242" s="461"/>
      <c r="DN242" s="461"/>
      <c r="DO242" s="461"/>
      <c r="DP242" s="461"/>
      <c r="DQ242" s="461"/>
      <c r="DR242" s="461"/>
      <c r="DS242" s="461"/>
      <c r="DW242" s="63"/>
    </row>
    <row r="243" spans="1:127" ht="30" hidden="1" outlineLevel="1">
      <c r="A243" s="116" t="s">
        <v>77</v>
      </c>
      <c r="B243" s="116" t="s">
        <v>78</v>
      </c>
      <c r="C243" s="118">
        <v>0</v>
      </c>
      <c r="D243" s="118">
        <v>0</v>
      </c>
      <c r="E243" s="118">
        <v>0</v>
      </c>
      <c r="F243" s="119">
        <v>0</v>
      </c>
      <c r="G243" s="120"/>
      <c r="H243" s="118">
        <v>0</v>
      </c>
      <c r="I243" s="118">
        <v>0</v>
      </c>
      <c r="J243" s="119">
        <f>Annually!H252-SUM(G243:I243)</f>
        <v>0</v>
      </c>
      <c r="K243" s="184"/>
      <c r="L243" s="185">
        <v>0</v>
      </c>
      <c r="M243" s="185">
        <v>0</v>
      </c>
      <c r="N243" s="274">
        <f>Annually!I252-Quarterly!M243-Quarterly!L243-Quarterly!K243</f>
        <v>0</v>
      </c>
      <c r="O243" s="184"/>
      <c r="P243" s="185"/>
      <c r="Q243" s="185">
        <v>0</v>
      </c>
      <c r="R243" s="274">
        <f>-Q243-P243-O243+Annually!J254</f>
        <v>0</v>
      </c>
      <c r="S243" s="184"/>
      <c r="T243" s="185">
        <v>0</v>
      </c>
      <c r="U243" s="185">
        <v>0</v>
      </c>
      <c r="V243" s="185">
        <v>0</v>
      </c>
      <c r="W243" s="184"/>
      <c r="X243" s="185"/>
      <c r="Y243" s="185"/>
      <c r="Z243" s="185"/>
      <c r="AA243" s="184"/>
      <c r="AB243" s="185"/>
      <c r="AC243" s="185"/>
      <c r="AD243" s="185"/>
      <c r="AE243" s="184"/>
      <c r="AF243" s="185"/>
      <c r="AG243" s="185"/>
      <c r="AH243" s="185"/>
      <c r="AI243" s="453"/>
      <c r="AJ243" s="458"/>
      <c r="AK243" s="458"/>
      <c r="AL243" s="458"/>
      <c r="AM243" s="458"/>
      <c r="AN243" s="458"/>
      <c r="AO243" s="458"/>
      <c r="AP243" s="458"/>
      <c r="AQ243" s="458"/>
      <c r="AR243" s="458"/>
      <c r="AS243" s="458"/>
      <c r="AT243" s="458"/>
      <c r="AU243" s="458"/>
      <c r="AV243" s="458"/>
      <c r="AW243" s="458"/>
      <c r="AX243" s="458"/>
      <c r="AY243" s="458"/>
      <c r="AZ243" s="458"/>
      <c r="BA243" s="458"/>
      <c r="BB243" s="458"/>
      <c r="BC243" s="458"/>
      <c r="BD243" s="458"/>
      <c r="BE243" s="458"/>
      <c r="BF243" s="458"/>
      <c r="BG243" s="458"/>
      <c r="BH243" s="458"/>
      <c r="BI243" s="458"/>
      <c r="BJ243" s="458"/>
      <c r="BK243" s="458"/>
      <c r="BL243" s="158">
        <v>0</v>
      </c>
      <c r="BM243" s="158">
        <v>0</v>
      </c>
      <c r="BN243" s="158">
        <v>0</v>
      </c>
      <c r="BO243" s="159">
        <v>0</v>
      </c>
      <c r="BP243" s="160"/>
      <c r="BQ243" s="161">
        <v>0</v>
      </c>
      <c r="BR243" s="161">
        <v>0</v>
      </c>
      <c r="BS243" s="162">
        <f>Annually!AC252-SUM(Quarterly!BP243:BR243)</f>
        <v>0</v>
      </c>
      <c r="BT243" s="163"/>
      <c r="BU243" s="164">
        <v>0</v>
      </c>
      <c r="BV243" s="164">
        <v>0</v>
      </c>
      <c r="BW243" s="165">
        <f>Annually!AD252-Quarterly!BV243-Quarterly!BU243-Quarterly!BT243</f>
        <v>0</v>
      </c>
      <c r="BX243" s="203"/>
      <c r="BY243" s="204"/>
      <c r="BZ243" s="204">
        <v>0</v>
      </c>
      <c r="CA243" s="205">
        <f>-BZ243-BY243-BX243+Annually!AE254</f>
        <v>0</v>
      </c>
      <c r="CB243" s="203"/>
      <c r="CC243" s="204"/>
      <c r="CD243" s="204"/>
      <c r="CE243" s="204">
        <v>0</v>
      </c>
      <c r="CF243" s="203"/>
      <c r="CG243" s="204"/>
      <c r="CH243" s="204"/>
      <c r="CI243" s="204"/>
      <c r="CJ243" s="203"/>
      <c r="CK243" s="204"/>
      <c r="CL243" s="204"/>
      <c r="CM243" s="205"/>
      <c r="CN243" s="203"/>
      <c r="CO243" s="204"/>
      <c r="CP243" s="204"/>
      <c r="CQ243" s="204"/>
      <c r="CR243" s="461"/>
      <c r="CS243" s="461"/>
      <c r="CT243" s="461"/>
      <c r="CU243" s="461"/>
      <c r="CV243" s="461"/>
      <c r="CW243" s="461"/>
      <c r="CX243" s="461"/>
      <c r="CY243" s="461"/>
      <c r="CZ243" s="461"/>
      <c r="DA243" s="461"/>
      <c r="DB243" s="461"/>
      <c r="DC243" s="461"/>
      <c r="DD243" s="461"/>
      <c r="DE243" s="461"/>
      <c r="DF243" s="461"/>
      <c r="DG243" s="461"/>
      <c r="DH243" s="461"/>
      <c r="DI243" s="461"/>
      <c r="DJ243" s="461"/>
      <c r="DK243" s="461"/>
      <c r="DL243" s="461"/>
      <c r="DM243" s="461"/>
      <c r="DN243" s="461"/>
      <c r="DO243" s="461"/>
      <c r="DP243" s="461"/>
      <c r="DQ243" s="461"/>
      <c r="DR243" s="461"/>
      <c r="DS243" s="461"/>
      <c r="DW243" s="63"/>
    </row>
    <row r="244" spans="1:127" ht="15" hidden="1" outlineLevel="1">
      <c r="A244" s="99" t="s">
        <v>104</v>
      </c>
      <c r="B244" s="142" t="s">
        <v>93</v>
      </c>
      <c r="C244" s="118">
        <v>0</v>
      </c>
      <c r="D244" s="118">
        <v>0</v>
      </c>
      <c r="E244" s="118">
        <v>0</v>
      </c>
      <c r="F244" s="119">
        <v>0</v>
      </c>
      <c r="G244" s="120"/>
      <c r="H244" s="118">
        <v>0</v>
      </c>
      <c r="I244" s="118">
        <v>0</v>
      </c>
      <c r="J244" s="119">
        <f>Annually!H253-SUM(G244:I244)</f>
        <v>0</v>
      </c>
      <c r="K244" s="184"/>
      <c r="L244" s="185">
        <v>0</v>
      </c>
      <c r="M244" s="185">
        <v>0</v>
      </c>
      <c r="N244" s="274">
        <f>Annually!I253-Quarterly!M244-Quarterly!L244-Quarterly!K244</f>
        <v>0</v>
      </c>
      <c r="O244" s="184"/>
      <c r="P244" s="185"/>
      <c r="Q244" s="185">
        <v>0</v>
      </c>
      <c r="R244" s="274">
        <f>-Q244-P244-O244+Annually!J255</f>
        <v>0</v>
      </c>
      <c r="S244" s="184"/>
      <c r="T244" s="185">
        <v>0</v>
      </c>
      <c r="U244" s="185">
        <v>0</v>
      </c>
      <c r="V244" s="185">
        <v>0</v>
      </c>
      <c r="W244" s="184"/>
      <c r="X244" s="185"/>
      <c r="Y244" s="185"/>
      <c r="Z244" s="185"/>
      <c r="AA244" s="184"/>
      <c r="AB244" s="185"/>
      <c r="AC244" s="185"/>
      <c r="AD244" s="185"/>
      <c r="AE244" s="184"/>
      <c r="AF244" s="185"/>
      <c r="AG244" s="185"/>
      <c r="AH244" s="185"/>
      <c r="AI244" s="453"/>
      <c r="AJ244" s="458"/>
      <c r="AK244" s="458"/>
      <c r="AL244" s="458"/>
      <c r="AM244" s="458"/>
      <c r="AN244" s="458"/>
      <c r="AO244" s="458"/>
      <c r="AP244" s="458"/>
      <c r="AQ244" s="458"/>
      <c r="AR244" s="458"/>
      <c r="AS244" s="458"/>
      <c r="AT244" s="458"/>
      <c r="AU244" s="458"/>
      <c r="AV244" s="458"/>
      <c r="AW244" s="458"/>
      <c r="AX244" s="458"/>
      <c r="AY244" s="458"/>
      <c r="AZ244" s="458"/>
      <c r="BA244" s="458"/>
      <c r="BB244" s="458"/>
      <c r="BC244" s="458"/>
      <c r="BD244" s="458"/>
      <c r="BE244" s="458"/>
      <c r="BF244" s="458"/>
      <c r="BG244" s="458"/>
      <c r="BH244" s="458"/>
      <c r="BI244" s="458"/>
      <c r="BJ244" s="458"/>
      <c r="BK244" s="458"/>
      <c r="BL244" s="158">
        <v>0</v>
      </c>
      <c r="BM244" s="158">
        <v>0</v>
      </c>
      <c r="BN244" s="158">
        <v>0</v>
      </c>
      <c r="BO244" s="159">
        <v>0</v>
      </c>
      <c r="BP244" s="160"/>
      <c r="BQ244" s="161">
        <v>0</v>
      </c>
      <c r="BR244" s="161">
        <v>0</v>
      </c>
      <c r="BS244" s="162">
        <f>Annually!AC253-SUM(Quarterly!BP244:BR244)</f>
        <v>0</v>
      </c>
      <c r="BT244" s="163"/>
      <c r="BU244" s="164">
        <v>0</v>
      </c>
      <c r="BV244" s="164">
        <v>0</v>
      </c>
      <c r="BW244" s="165">
        <f>Annually!AD253-Quarterly!BV244-Quarterly!BU244-Quarterly!BT244</f>
        <v>0</v>
      </c>
      <c r="BX244" s="203"/>
      <c r="BY244" s="204"/>
      <c r="BZ244" s="204">
        <v>0</v>
      </c>
      <c r="CA244" s="205">
        <f>-BZ244-BY244-BX244+Annually!AE255</f>
        <v>0</v>
      </c>
      <c r="CB244" s="203"/>
      <c r="CC244" s="204"/>
      <c r="CD244" s="204"/>
      <c r="CE244" s="204">
        <v>0</v>
      </c>
      <c r="CF244" s="203"/>
      <c r="CG244" s="204"/>
      <c r="CH244" s="204"/>
      <c r="CI244" s="204"/>
      <c r="CJ244" s="203"/>
      <c r="CK244" s="204"/>
      <c r="CL244" s="204"/>
      <c r="CM244" s="205"/>
      <c r="CN244" s="203"/>
      <c r="CO244" s="204"/>
      <c r="CP244" s="204"/>
      <c r="CQ244" s="204"/>
      <c r="CR244" s="461"/>
      <c r="CS244" s="461"/>
      <c r="CT244" s="461"/>
      <c r="CU244" s="461"/>
      <c r="CV244" s="461"/>
      <c r="CW244" s="461"/>
      <c r="CX244" s="461"/>
      <c r="CY244" s="461"/>
      <c r="CZ244" s="461"/>
      <c r="DA244" s="461"/>
      <c r="DB244" s="461"/>
      <c r="DC244" s="461"/>
      <c r="DD244" s="461"/>
      <c r="DE244" s="461"/>
      <c r="DF244" s="461"/>
      <c r="DG244" s="461"/>
      <c r="DH244" s="461"/>
      <c r="DI244" s="461"/>
      <c r="DJ244" s="461"/>
      <c r="DK244" s="461"/>
      <c r="DL244" s="461"/>
      <c r="DM244" s="461"/>
      <c r="DN244" s="461"/>
      <c r="DO244" s="461"/>
      <c r="DP244" s="461"/>
      <c r="DQ244" s="461"/>
      <c r="DR244" s="461"/>
      <c r="DS244" s="461"/>
      <c r="DW244" s="63"/>
    </row>
    <row r="245" spans="1:127" ht="15" hidden="1" outlineLevel="1">
      <c r="A245" s="116" t="s">
        <v>79</v>
      </c>
      <c r="B245" s="116" t="s">
        <v>80</v>
      </c>
      <c r="C245" s="118">
        <v>0</v>
      </c>
      <c r="D245" s="118">
        <v>0</v>
      </c>
      <c r="E245" s="118">
        <v>0</v>
      </c>
      <c r="F245" s="119">
        <v>0</v>
      </c>
      <c r="G245" s="120"/>
      <c r="H245" s="118">
        <v>0</v>
      </c>
      <c r="I245" s="118">
        <v>0</v>
      </c>
      <c r="J245" s="119">
        <f>Annually!H254-SUM(G245:I245)</f>
        <v>0</v>
      </c>
      <c r="K245" s="184"/>
      <c r="L245" s="185">
        <v>0</v>
      </c>
      <c r="M245" s="185">
        <v>0</v>
      </c>
      <c r="N245" s="274">
        <f>Annually!I254-Quarterly!M245-Quarterly!L245-Quarterly!K245</f>
        <v>0</v>
      </c>
      <c r="O245" s="184"/>
      <c r="P245" s="185"/>
      <c r="Q245" s="185">
        <v>0</v>
      </c>
      <c r="R245" s="274">
        <f>-Q245-P245-O245+Annually!J256</f>
        <v>0</v>
      </c>
      <c r="S245" s="184"/>
      <c r="T245" s="185">
        <v>0</v>
      </c>
      <c r="U245" s="185">
        <v>0</v>
      </c>
      <c r="V245" s="185">
        <v>0</v>
      </c>
      <c r="W245" s="184"/>
      <c r="X245" s="185"/>
      <c r="Y245" s="185"/>
      <c r="Z245" s="185"/>
      <c r="AA245" s="184"/>
      <c r="AB245" s="185"/>
      <c r="AC245" s="185"/>
      <c r="AD245" s="185"/>
      <c r="AE245" s="184"/>
      <c r="AF245" s="185"/>
      <c r="AG245" s="185"/>
      <c r="AH245" s="185"/>
      <c r="AI245" s="453"/>
      <c r="AJ245" s="458"/>
      <c r="AK245" s="458"/>
      <c r="AL245" s="458"/>
      <c r="AM245" s="458"/>
      <c r="AN245" s="458"/>
      <c r="AO245" s="458"/>
      <c r="AP245" s="458"/>
      <c r="AQ245" s="458"/>
      <c r="AR245" s="458"/>
      <c r="AS245" s="458"/>
      <c r="AT245" s="458"/>
      <c r="AU245" s="458"/>
      <c r="AV245" s="458"/>
      <c r="AW245" s="458"/>
      <c r="AX245" s="458"/>
      <c r="AY245" s="458"/>
      <c r="AZ245" s="458"/>
      <c r="BA245" s="458"/>
      <c r="BB245" s="458"/>
      <c r="BC245" s="458"/>
      <c r="BD245" s="458"/>
      <c r="BE245" s="458"/>
      <c r="BF245" s="458"/>
      <c r="BG245" s="458"/>
      <c r="BH245" s="458"/>
      <c r="BI245" s="458"/>
      <c r="BJ245" s="458"/>
      <c r="BK245" s="458"/>
      <c r="BL245" s="158">
        <v>0</v>
      </c>
      <c r="BM245" s="158">
        <v>0</v>
      </c>
      <c r="BN245" s="158">
        <v>0</v>
      </c>
      <c r="BO245" s="159">
        <v>0</v>
      </c>
      <c r="BP245" s="160"/>
      <c r="BQ245" s="161">
        <v>0</v>
      </c>
      <c r="BR245" s="161">
        <v>0</v>
      </c>
      <c r="BS245" s="162">
        <f>Annually!AC254-SUM(Quarterly!BP245:BR245)</f>
        <v>0</v>
      </c>
      <c r="BT245" s="163"/>
      <c r="BU245" s="164">
        <v>0</v>
      </c>
      <c r="BV245" s="164">
        <v>0</v>
      </c>
      <c r="BW245" s="165">
        <f>Annually!AD254-Quarterly!BV245-Quarterly!BU245-Quarterly!BT245</f>
        <v>0</v>
      </c>
      <c r="BX245" s="203"/>
      <c r="BY245" s="204"/>
      <c r="BZ245" s="204">
        <v>0</v>
      </c>
      <c r="CA245" s="205">
        <f>-BZ245-BY245-BX245+Annually!AE256</f>
        <v>0</v>
      </c>
      <c r="CB245" s="203"/>
      <c r="CC245" s="204"/>
      <c r="CD245" s="204"/>
      <c r="CE245" s="204">
        <v>0</v>
      </c>
      <c r="CF245" s="203"/>
      <c r="CG245" s="204"/>
      <c r="CH245" s="204"/>
      <c r="CI245" s="204"/>
      <c r="CJ245" s="203"/>
      <c r="CK245" s="204"/>
      <c r="CL245" s="204"/>
      <c r="CM245" s="205"/>
      <c r="CN245" s="203"/>
      <c r="CO245" s="204"/>
      <c r="CP245" s="204"/>
      <c r="CQ245" s="204"/>
      <c r="CR245" s="461"/>
      <c r="CS245" s="461"/>
      <c r="CT245" s="461"/>
      <c r="CU245" s="461"/>
      <c r="CV245" s="461"/>
      <c r="CW245" s="461"/>
      <c r="CX245" s="461"/>
      <c r="CY245" s="461"/>
      <c r="CZ245" s="461"/>
      <c r="DA245" s="461"/>
      <c r="DB245" s="461"/>
      <c r="DC245" s="461"/>
      <c r="DD245" s="461"/>
      <c r="DE245" s="461"/>
      <c r="DF245" s="461"/>
      <c r="DG245" s="461"/>
      <c r="DH245" s="461"/>
      <c r="DI245" s="461"/>
      <c r="DJ245" s="461"/>
      <c r="DK245" s="461"/>
      <c r="DL245" s="461"/>
      <c r="DM245" s="461"/>
      <c r="DN245" s="461"/>
      <c r="DO245" s="461"/>
      <c r="DP245" s="461"/>
      <c r="DQ245" s="461"/>
      <c r="DR245" s="461"/>
      <c r="DS245" s="461"/>
      <c r="DW245" s="63"/>
    </row>
    <row r="246" spans="1:127" ht="15" hidden="1" outlineLevel="1">
      <c r="A246" s="116"/>
      <c r="B246" s="142" t="s">
        <v>93</v>
      </c>
      <c r="C246" s="118">
        <v>0</v>
      </c>
      <c r="D246" s="118">
        <v>0</v>
      </c>
      <c r="E246" s="118">
        <v>0</v>
      </c>
      <c r="F246" s="119">
        <v>0</v>
      </c>
      <c r="G246" s="120"/>
      <c r="H246" s="118">
        <v>0</v>
      </c>
      <c r="I246" s="118">
        <v>0</v>
      </c>
      <c r="J246" s="119">
        <f>Annually!H255-SUM(G246:I246)</f>
        <v>0</v>
      </c>
      <c r="K246" s="184"/>
      <c r="L246" s="185">
        <v>0</v>
      </c>
      <c r="M246" s="185">
        <v>0</v>
      </c>
      <c r="N246" s="274">
        <f>Annually!I255-Quarterly!M246-Quarterly!L246-Quarterly!K246</f>
        <v>0</v>
      </c>
      <c r="O246" s="184"/>
      <c r="P246" s="185"/>
      <c r="Q246" s="185">
        <v>0</v>
      </c>
      <c r="R246" s="274">
        <f>-Q246-P246-O246+Annually!J257</f>
        <v>0</v>
      </c>
      <c r="S246" s="184"/>
      <c r="T246" s="185">
        <v>0</v>
      </c>
      <c r="U246" s="185">
        <v>0</v>
      </c>
      <c r="V246" s="185">
        <v>0</v>
      </c>
      <c r="W246" s="184"/>
      <c r="X246" s="185"/>
      <c r="Y246" s="185"/>
      <c r="Z246" s="185"/>
      <c r="AA246" s="184"/>
      <c r="AB246" s="185"/>
      <c r="AC246" s="185"/>
      <c r="AD246" s="185"/>
      <c r="AE246" s="184"/>
      <c r="AF246" s="185"/>
      <c r="AG246" s="185"/>
      <c r="AH246" s="185"/>
      <c r="AI246" s="453"/>
      <c r="AJ246" s="458"/>
      <c r="AK246" s="458"/>
      <c r="AL246" s="458"/>
      <c r="AM246" s="458"/>
      <c r="AN246" s="458"/>
      <c r="AO246" s="458"/>
      <c r="AP246" s="458"/>
      <c r="AQ246" s="458"/>
      <c r="AR246" s="458"/>
      <c r="AS246" s="458"/>
      <c r="AT246" s="458"/>
      <c r="AU246" s="458"/>
      <c r="AV246" s="458"/>
      <c r="AW246" s="458"/>
      <c r="AX246" s="458"/>
      <c r="AY246" s="458"/>
      <c r="AZ246" s="458"/>
      <c r="BA246" s="458"/>
      <c r="BB246" s="458"/>
      <c r="BC246" s="458"/>
      <c r="BD246" s="458"/>
      <c r="BE246" s="458"/>
      <c r="BF246" s="458"/>
      <c r="BG246" s="458"/>
      <c r="BH246" s="458"/>
      <c r="BI246" s="458"/>
      <c r="BJ246" s="458"/>
      <c r="BK246" s="458"/>
      <c r="BL246" s="158">
        <v>0</v>
      </c>
      <c r="BM246" s="158">
        <v>0</v>
      </c>
      <c r="BN246" s="158">
        <v>0</v>
      </c>
      <c r="BO246" s="159">
        <v>0</v>
      </c>
      <c r="BP246" s="160"/>
      <c r="BQ246" s="161">
        <v>0</v>
      </c>
      <c r="BR246" s="161">
        <v>0</v>
      </c>
      <c r="BS246" s="162">
        <f>Annually!AC255-SUM(Quarterly!BP246:BR246)</f>
        <v>0</v>
      </c>
      <c r="BT246" s="163"/>
      <c r="BU246" s="164">
        <v>0</v>
      </c>
      <c r="BV246" s="164">
        <v>0</v>
      </c>
      <c r="BW246" s="165">
        <f>Annually!AD255-Quarterly!BV246-Quarterly!BU246-Quarterly!BT246</f>
        <v>0</v>
      </c>
      <c r="BX246" s="203"/>
      <c r="BY246" s="204"/>
      <c r="BZ246" s="204">
        <v>0</v>
      </c>
      <c r="CA246" s="205">
        <f>-BZ246-BY246-BX246+Annually!AE257</f>
        <v>0</v>
      </c>
      <c r="CB246" s="203"/>
      <c r="CC246" s="204"/>
      <c r="CD246" s="204"/>
      <c r="CE246" s="204">
        <v>0</v>
      </c>
      <c r="CF246" s="203"/>
      <c r="CG246" s="204"/>
      <c r="CH246" s="204"/>
      <c r="CI246" s="204"/>
      <c r="CJ246" s="203"/>
      <c r="CK246" s="204"/>
      <c r="CL246" s="204"/>
      <c r="CM246" s="205"/>
      <c r="CN246" s="203"/>
      <c r="CO246" s="204"/>
      <c r="CP246" s="204"/>
      <c r="CQ246" s="204"/>
      <c r="CR246" s="461"/>
      <c r="CS246" s="461"/>
      <c r="CT246" s="461"/>
      <c r="CU246" s="461"/>
      <c r="CV246" s="461"/>
      <c r="CW246" s="461"/>
      <c r="CX246" s="461"/>
      <c r="CY246" s="461"/>
      <c r="CZ246" s="461"/>
      <c r="DA246" s="461"/>
      <c r="DB246" s="461"/>
      <c r="DC246" s="461"/>
      <c r="DD246" s="461"/>
      <c r="DE246" s="461"/>
      <c r="DF246" s="461"/>
      <c r="DG246" s="461"/>
      <c r="DH246" s="461"/>
      <c r="DI246" s="461"/>
      <c r="DJ246" s="461"/>
      <c r="DK246" s="461"/>
      <c r="DL246" s="461"/>
      <c r="DM246" s="461"/>
      <c r="DN246" s="461"/>
      <c r="DO246" s="461"/>
      <c r="DP246" s="461"/>
      <c r="DQ246" s="461"/>
      <c r="DR246" s="461"/>
      <c r="DS246" s="461"/>
      <c r="DW246" s="63"/>
    </row>
    <row r="247" spans="1:127" ht="30.75" hidden="1" outlineLevel="1">
      <c r="A247" s="70" t="s">
        <v>127</v>
      </c>
      <c r="B247" s="70" t="s">
        <v>130</v>
      </c>
      <c r="C247" s="71">
        <v>14.91</v>
      </c>
      <c r="D247" s="71">
        <v>23.562</v>
      </c>
      <c r="E247" s="71">
        <v>30.258999999999993</v>
      </c>
      <c r="F247" s="72">
        <v>24.188000000000002</v>
      </c>
      <c r="G247" s="73">
        <v>41</v>
      </c>
      <c r="H247" s="71">
        <v>37.5</v>
      </c>
      <c r="I247" s="71">
        <v>41.900000000000006</v>
      </c>
      <c r="J247" s="72">
        <f>J253</f>
        <v>39.599999999999994</v>
      </c>
      <c r="K247" s="75">
        <f aca="true" t="shared" si="636" ref="K247:V247">K248+K249+K250+K251+K253</f>
        <v>42.3</v>
      </c>
      <c r="L247" s="75">
        <f t="shared" si="636"/>
        <v>29.409000000000006</v>
      </c>
      <c r="M247" s="75">
        <f t="shared" si="636"/>
        <v>39.949</v>
      </c>
      <c r="N247" s="272">
        <f t="shared" si="636"/>
        <v>34.38600000000001</v>
      </c>
      <c r="O247" s="74">
        <f t="shared" si="636"/>
        <v>35.732</v>
      </c>
      <c r="P247" s="75">
        <f t="shared" si="636"/>
        <v>38.557</v>
      </c>
      <c r="Q247" s="75">
        <f t="shared" si="636"/>
        <v>36.211</v>
      </c>
      <c r="R247" s="272">
        <f t="shared" si="636"/>
        <v>23.381</v>
      </c>
      <c r="S247" s="74">
        <f t="shared" si="636"/>
        <v>36.5</v>
      </c>
      <c r="T247" s="75">
        <f t="shared" si="636"/>
        <v>33.795</v>
      </c>
      <c r="U247" s="75">
        <f t="shared" si="636"/>
        <v>26.733000000000004</v>
      </c>
      <c r="V247" s="75">
        <f t="shared" si="636"/>
        <v>32.120999999999995</v>
      </c>
      <c r="W247" s="74">
        <f aca="true" t="shared" si="637" ref="W247:AC247">W248+W249+W250+W251+W253</f>
        <v>41.029</v>
      </c>
      <c r="X247" s="75">
        <f t="shared" si="637"/>
        <v>42.502</v>
      </c>
      <c r="Y247" s="75">
        <f t="shared" si="637"/>
        <v>40.46899999999999</v>
      </c>
      <c r="Z247" s="75">
        <f t="shared" si="637"/>
        <v>12.000000000000014</v>
      </c>
      <c r="AA247" s="74">
        <f t="shared" si="637"/>
        <v>32.121</v>
      </c>
      <c r="AB247" s="75">
        <f t="shared" si="637"/>
        <v>12.692999999999998</v>
      </c>
      <c r="AC247" s="75">
        <f t="shared" si="637"/>
        <v>33.882</v>
      </c>
      <c r="AD247" s="75">
        <f>AD248+AD249+AD250+AD251+AD253</f>
        <v>28.36100000000001</v>
      </c>
      <c r="AE247" s="74">
        <f>AE248+AE249+AE250+AE251+AE253</f>
        <v>16.018</v>
      </c>
      <c r="AF247" s="75">
        <f>AF248+AF249+AF250+AF251+AF253</f>
        <v>9.096999999999998</v>
      </c>
      <c r="AG247" s="75"/>
      <c r="AH247" s="75"/>
      <c r="AI247" s="452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77">
        <v>12.797</v>
      </c>
      <c r="BM247" s="77">
        <v>23.810999999999996</v>
      </c>
      <c r="BN247" s="77">
        <v>29.993000000000002</v>
      </c>
      <c r="BO247" s="78">
        <v>24.373000000000005</v>
      </c>
      <c r="BP247" s="79">
        <v>41.9</v>
      </c>
      <c r="BQ247" s="80">
        <v>37.731</v>
      </c>
      <c r="BR247" s="80">
        <v>40.568999999999996</v>
      </c>
      <c r="BS247" s="81">
        <f>BS253</f>
        <v>37.400000000000006</v>
      </c>
      <c r="BT247" s="82">
        <f>BT253</f>
        <v>42.2</v>
      </c>
      <c r="BU247" s="83">
        <f>BU253</f>
        <v>30.608000000000004</v>
      </c>
      <c r="BV247" s="83">
        <v>39.891999999999996</v>
      </c>
      <c r="BW247" s="84">
        <f>Annually!AD258-Quarterly!BV247-Quarterly!BU247-Quarterly!BT247</f>
        <v>35.325</v>
      </c>
      <c r="BX247" s="83">
        <f aca="true" t="shared" si="638" ref="BX247:CE247">BX248+BX249+BX250+BX251+BX252+BX253</f>
        <v>31.897</v>
      </c>
      <c r="BY247" s="83">
        <f t="shared" si="638"/>
        <v>42.499</v>
      </c>
      <c r="BZ247" s="83">
        <f t="shared" si="638"/>
        <v>32.444999999999986</v>
      </c>
      <c r="CA247" s="85">
        <f t="shared" si="638"/>
        <v>25.118000000000023</v>
      </c>
      <c r="CB247" s="82">
        <f t="shared" si="638"/>
        <v>39.1</v>
      </c>
      <c r="CC247" s="83">
        <f t="shared" si="638"/>
        <v>32.699999999999996</v>
      </c>
      <c r="CD247" s="83">
        <f t="shared" si="638"/>
        <v>25.853</v>
      </c>
      <c r="CE247" s="83">
        <f t="shared" si="638"/>
        <v>32.84700000000001</v>
      </c>
      <c r="CF247" s="82">
        <f aca="true" t="shared" si="639" ref="CF247:CN247">CF248+CF249+CF250+CF251+CF252+CF253</f>
        <v>39.778</v>
      </c>
      <c r="CG247" s="83">
        <f t="shared" si="639"/>
        <v>43.352</v>
      </c>
      <c r="CH247" s="83">
        <f t="shared" si="639"/>
        <v>38.37</v>
      </c>
      <c r="CI247" s="83">
        <f t="shared" si="639"/>
        <v>12.099999999999994</v>
      </c>
      <c r="CJ247" s="82">
        <f t="shared" si="639"/>
        <v>32.791</v>
      </c>
      <c r="CK247" s="86">
        <f t="shared" si="639"/>
        <v>15.365000000000002</v>
      </c>
      <c r="CL247" s="86">
        <f t="shared" si="639"/>
        <v>31.899</v>
      </c>
      <c r="CM247" s="408">
        <f>CM248+CM249+CM250+CM251+CM252+CM253</f>
        <v>31.236999999999995</v>
      </c>
      <c r="CN247" s="82">
        <f t="shared" si="639"/>
        <v>14.762</v>
      </c>
      <c r="CO247" s="86">
        <f>CO248+CO249+CO250+CO251+CO252+CO253</f>
        <v>9.271</v>
      </c>
      <c r="CP247" s="86"/>
      <c r="CQ247" s="86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W247" s="63"/>
    </row>
    <row r="248" spans="1:127" ht="15" customHeight="1" hidden="1" outlineLevel="1">
      <c r="A248" s="116" t="s">
        <v>81</v>
      </c>
      <c r="B248" s="116" t="s">
        <v>82</v>
      </c>
      <c r="C248" s="118">
        <v>0</v>
      </c>
      <c r="D248" s="118">
        <v>0</v>
      </c>
      <c r="E248" s="118">
        <v>0</v>
      </c>
      <c r="F248" s="119">
        <v>0</v>
      </c>
      <c r="G248" s="120"/>
      <c r="H248" s="118">
        <v>0</v>
      </c>
      <c r="I248" s="118">
        <v>0</v>
      </c>
      <c r="J248" s="119">
        <f>Annually!H257-SUM(G248:I248)</f>
        <v>0</v>
      </c>
      <c r="K248" s="184"/>
      <c r="L248" s="185">
        <v>0</v>
      </c>
      <c r="M248" s="185">
        <v>0</v>
      </c>
      <c r="N248" s="274">
        <f>Annually!I257-Quarterly!M248-Quarterly!L248-Quarterly!K248</f>
        <v>0</v>
      </c>
      <c r="O248" s="184">
        <v>0</v>
      </c>
      <c r="P248" s="185">
        <v>0</v>
      </c>
      <c r="Q248" s="185">
        <v>0</v>
      </c>
      <c r="R248" s="185">
        <f>-Q248-P248-O248+Annually!J259</f>
        <v>0</v>
      </c>
      <c r="S248" s="184"/>
      <c r="T248" s="185">
        <v>0</v>
      </c>
      <c r="U248" s="185">
        <v>0</v>
      </c>
      <c r="V248" s="185">
        <v>0</v>
      </c>
      <c r="W248" s="184"/>
      <c r="X248" s="185"/>
      <c r="Y248" s="185"/>
      <c r="Z248" s="185"/>
      <c r="AA248" s="184"/>
      <c r="AB248" s="185"/>
      <c r="AC248" s="185"/>
      <c r="AD248" s="185"/>
      <c r="AE248" s="184"/>
      <c r="AF248" s="185"/>
      <c r="AG248" s="185"/>
      <c r="AH248" s="185"/>
      <c r="AI248" s="453"/>
      <c r="AJ248" s="458"/>
      <c r="AK248" s="458"/>
      <c r="AL248" s="458"/>
      <c r="AM248" s="458"/>
      <c r="AN248" s="458"/>
      <c r="AO248" s="458"/>
      <c r="AP248" s="458"/>
      <c r="AQ248" s="458"/>
      <c r="AR248" s="458"/>
      <c r="AS248" s="458"/>
      <c r="AT248" s="458"/>
      <c r="AU248" s="458"/>
      <c r="AV248" s="458"/>
      <c r="AW248" s="458"/>
      <c r="AX248" s="458"/>
      <c r="AY248" s="458"/>
      <c r="AZ248" s="458"/>
      <c r="BA248" s="458"/>
      <c r="BB248" s="458"/>
      <c r="BC248" s="458"/>
      <c r="BD248" s="458"/>
      <c r="BE248" s="458"/>
      <c r="BF248" s="458"/>
      <c r="BG248" s="458"/>
      <c r="BH248" s="458"/>
      <c r="BI248" s="458"/>
      <c r="BJ248" s="458"/>
      <c r="BK248" s="458"/>
      <c r="BL248" s="158">
        <v>0</v>
      </c>
      <c r="BM248" s="158">
        <v>0</v>
      </c>
      <c r="BN248" s="158">
        <v>0</v>
      </c>
      <c r="BO248" s="159">
        <v>0</v>
      </c>
      <c r="BP248" s="160"/>
      <c r="BQ248" s="161">
        <v>0</v>
      </c>
      <c r="BR248" s="161">
        <v>0</v>
      </c>
      <c r="BS248" s="162">
        <f>Annually!AC257-SUM(Quarterly!BP248:BR248)</f>
        <v>0</v>
      </c>
      <c r="BT248" s="163"/>
      <c r="BU248" s="164">
        <v>0</v>
      </c>
      <c r="BV248" s="164">
        <v>0</v>
      </c>
      <c r="BW248" s="165">
        <f>Annually!AD259-Quarterly!BV248-Quarterly!BU248-Quarterly!BT248</f>
        <v>0</v>
      </c>
      <c r="BX248" s="163"/>
      <c r="BY248" s="164"/>
      <c r="BZ248" s="164">
        <v>0</v>
      </c>
      <c r="CA248" s="166">
        <f>-BZ248-BY248-BX248+Annually!AE259</f>
        <v>0</v>
      </c>
      <c r="CB248" s="163"/>
      <c r="CC248" s="164"/>
      <c r="CD248" s="164"/>
      <c r="CE248" s="164">
        <v>0</v>
      </c>
      <c r="CF248" s="163"/>
      <c r="CG248" s="164"/>
      <c r="CH248" s="164"/>
      <c r="CI248" s="164"/>
      <c r="CJ248" s="163"/>
      <c r="CK248" s="164"/>
      <c r="CL248" s="164"/>
      <c r="CM248" s="166"/>
      <c r="CN248" s="163"/>
      <c r="CO248" s="164"/>
      <c r="CP248" s="164"/>
      <c r="CQ248" s="164"/>
      <c r="CR248" s="458"/>
      <c r="CS248" s="458"/>
      <c r="CT248" s="458"/>
      <c r="CU248" s="458"/>
      <c r="CV248" s="458"/>
      <c r="CW248" s="458"/>
      <c r="CX248" s="458"/>
      <c r="CY248" s="458"/>
      <c r="CZ248" s="458"/>
      <c r="DA248" s="458"/>
      <c r="DB248" s="458"/>
      <c r="DC248" s="458"/>
      <c r="DD248" s="458"/>
      <c r="DE248" s="458"/>
      <c r="DF248" s="458"/>
      <c r="DG248" s="458"/>
      <c r="DH248" s="458"/>
      <c r="DI248" s="458"/>
      <c r="DJ248" s="458"/>
      <c r="DK248" s="458"/>
      <c r="DL248" s="458"/>
      <c r="DM248" s="458"/>
      <c r="DN248" s="458"/>
      <c r="DO248" s="458"/>
      <c r="DP248" s="458"/>
      <c r="DQ248" s="458"/>
      <c r="DR248" s="458"/>
      <c r="DS248" s="458"/>
      <c r="DW248" s="63"/>
    </row>
    <row r="249" spans="1:127" ht="15" hidden="1" outlineLevel="1">
      <c r="A249" s="116" t="s">
        <v>83</v>
      </c>
      <c r="B249" s="116" t="s">
        <v>19</v>
      </c>
      <c r="C249" s="118">
        <v>0</v>
      </c>
      <c r="D249" s="118">
        <v>0</v>
      </c>
      <c r="E249" s="118">
        <v>0</v>
      </c>
      <c r="F249" s="119">
        <v>0</v>
      </c>
      <c r="G249" s="120"/>
      <c r="H249" s="118">
        <v>0</v>
      </c>
      <c r="I249" s="118">
        <v>0</v>
      </c>
      <c r="J249" s="119">
        <f>Annually!H260-SUM(G249:I249)</f>
        <v>0</v>
      </c>
      <c r="K249" s="184"/>
      <c r="L249" s="185">
        <v>0</v>
      </c>
      <c r="M249" s="185">
        <v>0</v>
      </c>
      <c r="N249" s="274">
        <f>Annually!I260-Quarterly!M249-Quarterly!L249-Quarterly!K249</f>
        <v>0</v>
      </c>
      <c r="O249" s="184">
        <v>0</v>
      </c>
      <c r="P249" s="185">
        <v>0</v>
      </c>
      <c r="Q249" s="185">
        <v>0</v>
      </c>
      <c r="R249" s="185">
        <f>-Q249-P249-O249+Annually!J260</f>
        <v>0</v>
      </c>
      <c r="S249" s="184"/>
      <c r="T249" s="185">
        <v>0</v>
      </c>
      <c r="U249" s="185">
        <v>0</v>
      </c>
      <c r="V249" s="185">
        <v>0</v>
      </c>
      <c r="W249" s="184"/>
      <c r="X249" s="185"/>
      <c r="Y249" s="185"/>
      <c r="Z249" s="185"/>
      <c r="AA249" s="184"/>
      <c r="AB249" s="185"/>
      <c r="AC249" s="185"/>
      <c r="AD249" s="185"/>
      <c r="AE249" s="184"/>
      <c r="AF249" s="185"/>
      <c r="AG249" s="185"/>
      <c r="AH249" s="185"/>
      <c r="AI249" s="453"/>
      <c r="AJ249" s="458"/>
      <c r="AK249" s="458"/>
      <c r="AL249" s="458"/>
      <c r="AM249" s="458"/>
      <c r="AN249" s="458"/>
      <c r="AO249" s="458"/>
      <c r="AP249" s="458"/>
      <c r="AQ249" s="458"/>
      <c r="AR249" s="458"/>
      <c r="AS249" s="458"/>
      <c r="AT249" s="458"/>
      <c r="AU249" s="458"/>
      <c r="AV249" s="458"/>
      <c r="AW249" s="458"/>
      <c r="AX249" s="458"/>
      <c r="AY249" s="458"/>
      <c r="AZ249" s="458"/>
      <c r="BA249" s="458"/>
      <c r="BB249" s="458"/>
      <c r="BC249" s="458"/>
      <c r="BD249" s="458"/>
      <c r="BE249" s="458"/>
      <c r="BF249" s="458"/>
      <c r="BG249" s="458"/>
      <c r="BH249" s="458"/>
      <c r="BI249" s="458"/>
      <c r="BJ249" s="458"/>
      <c r="BK249" s="458"/>
      <c r="BL249" s="158">
        <v>0</v>
      </c>
      <c r="BM249" s="158">
        <v>0</v>
      </c>
      <c r="BN249" s="158">
        <v>0</v>
      </c>
      <c r="BO249" s="159">
        <v>0</v>
      </c>
      <c r="BP249" s="160"/>
      <c r="BQ249" s="161">
        <v>0</v>
      </c>
      <c r="BR249" s="161">
        <v>0</v>
      </c>
      <c r="BS249" s="162">
        <f>Annually!AC258-SUM(Quarterly!BP249:BR249)</f>
        <v>157.6</v>
      </c>
      <c r="BT249" s="163"/>
      <c r="BU249" s="164">
        <v>0</v>
      </c>
      <c r="BV249" s="164">
        <v>0</v>
      </c>
      <c r="BW249" s="165">
        <f>Annually!AD260-Quarterly!BV249-Quarterly!BU249-Quarterly!BT249</f>
        <v>0</v>
      </c>
      <c r="BX249" s="163"/>
      <c r="BY249" s="164"/>
      <c r="BZ249" s="164">
        <v>0</v>
      </c>
      <c r="CA249" s="166">
        <f>-BZ249-BY249-BX249+Annually!AE260</f>
        <v>0</v>
      </c>
      <c r="CB249" s="163"/>
      <c r="CC249" s="164"/>
      <c r="CD249" s="164"/>
      <c r="CE249" s="164">
        <v>0</v>
      </c>
      <c r="CF249" s="163"/>
      <c r="CG249" s="164"/>
      <c r="CH249" s="164"/>
      <c r="CI249" s="164"/>
      <c r="CJ249" s="163"/>
      <c r="CK249" s="164"/>
      <c r="CL249" s="164"/>
      <c r="CM249" s="166"/>
      <c r="CN249" s="163"/>
      <c r="CO249" s="164"/>
      <c r="CP249" s="164"/>
      <c r="CQ249" s="164"/>
      <c r="CR249" s="458"/>
      <c r="CS249" s="458"/>
      <c r="CT249" s="458"/>
      <c r="CU249" s="458"/>
      <c r="CV249" s="458"/>
      <c r="CW249" s="458"/>
      <c r="CX249" s="458"/>
      <c r="CY249" s="458"/>
      <c r="CZ249" s="458"/>
      <c r="DA249" s="458"/>
      <c r="DB249" s="458"/>
      <c r="DC249" s="458"/>
      <c r="DD249" s="458"/>
      <c r="DE249" s="458"/>
      <c r="DF249" s="458"/>
      <c r="DG249" s="458"/>
      <c r="DH249" s="458"/>
      <c r="DI249" s="458"/>
      <c r="DJ249" s="458"/>
      <c r="DK249" s="458"/>
      <c r="DL249" s="458"/>
      <c r="DM249" s="458"/>
      <c r="DN249" s="458"/>
      <c r="DO249" s="458"/>
      <c r="DP249" s="458"/>
      <c r="DQ249" s="458"/>
      <c r="DR249" s="458"/>
      <c r="DS249" s="458"/>
      <c r="DW249" s="63"/>
    </row>
    <row r="250" spans="1:127" ht="15" hidden="1" outlineLevel="1">
      <c r="A250" s="116" t="s">
        <v>84</v>
      </c>
      <c r="B250" s="116" t="s">
        <v>85</v>
      </c>
      <c r="C250" s="118">
        <v>0</v>
      </c>
      <c r="D250" s="118">
        <v>0</v>
      </c>
      <c r="E250" s="118">
        <v>0</v>
      </c>
      <c r="F250" s="119">
        <v>0</v>
      </c>
      <c r="G250" s="120"/>
      <c r="H250" s="118">
        <v>0</v>
      </c>
      <c r="I250" s="118">
        <v>0</v>
      </c>
      <c r="J250" s="119">
        <f>Annually!H259-SUM(G250:I250)</f>
        <v>0</v>
      </c>
      <c r="K250" s="184"/>
      <c r="L250" s="185">
        <v>0</v>
      </c>
      <c r="M250" s="185">
        <v>0</v>
      </c>
      <c r="N250" s="274">
        <f>Annually!I259-Quarterly!M250-Quarterly!L250-Quarterly!K250</f>
        <v>0</v>
      </c>
      <c r="O250" s="184">
        <v>0</v>
      </c>
      <c r="P250" s="185">
        <v>0</v>
      </c>
      <c r="Q250" s="185">
        <v>0</v>
      </c>
      <c r="R250" s="185">
        <f>-Q250-P250-O250+Annually!J261</f>
        <v>0</v>
      </c>
      <c r="S250" s="184"/>
      <c r="T250" s="185">
        <v>0</v>
      </c>
      <c r="U250" s="185">
        <v>0</v>
      </c>
      <c r="V250" s="185">
        <v>0</v>
      </c>
      <c r="W250" s="184"/>
      <c r="X250" s="185"/>
      <c r="Y250" s="185"/>
      <c r="Z250" s="185"/>
      <c r="AA250" s="184"/>
      <c r="AB250" s="185"/>
      <c r="AC250" s="185"/>
      <c r="AD250" s="185"/>
      <c r="AE250" s="184"/>
      <c r="AF250" s="185"/>
      <c r="AG250" s="185"/>
      <c r="AH250" s="185"/>
      <c r="AI250" s="453"/>
      <c r="AJ250" s="458"/>
      <c r="AK250" s="458"/>
      <c r="AL250" s="458"/>
      <c r="AM250" s="458"/>
      <c r="AN250" s="458"/>
      <c r="AO250" s="458"/>
      <c r="AP250" s="458"/>
      <c r="AQ250" s="458"/>
      <c r="AR250" s="458"/>
      <c r="AS250" s="458"/>
      <c r="AT250" s="458"/>
      <c r="AU250" s="458"/>
      <c r="AV250" s="458"/>
      <c r="AW250" s="458"/>
      <c r="AX250" s="458"/>
      <c r="AY250" s="458"/>
      <c r="AZ250" s="458"/>
      <c r="BA250" s="458"/>
      <c r="BB250" s="458"/>
      <c r="BC250" s="458"/>
      <c r="BD250" s="458"/>
      <c r="BE250" s="458"/>
      <c r="BF250" s="458"/>
      <c r="BG250" s="458"/>
      <c r="BH250" s="458"/>
      <c r="BI250" s="458"/>
      <c r="BJ250" s="458"/>
      <c r="BK250" s="458"/>
      <c r="BL250" s="158">
        <v>0</v>
      </c>
      <c r="BM250" s="158">
        <v>0</v>
      </c>
      <c r="BN250" s="158">
        <v>0</v>
      </c>
      <c r="BO250" s="159">
        <v>0</v>
      </c>
      <c r="BP250" s="160"/>
      <c r="BQ250" s="161">
        <v>0</v>
      </c>
      <c r="BR250" s="161">
        <v>0</v>
      </c>
      <c r="BS250" s="162">
        <f>Annually!AC259-SUM(Quarterly!BP250:BR250)</f>
        <v>0</v>
      </c>
      <c r="BT250" s="163"/>
      <c r="BU250" s="164">
        <v>0</v>
      </c>
      <c r="BV250" s="164">
        <v>0</v>
      </c>
      <c r="BW250" s="165">
        <f>Annually!AD261-Quarterly!BV250-Quarterly!BU250-Quarterly!BT250</f>
        <v>0</v>
      </c>
      <c r="BX250" s="163"/>
      <c r="BY250" s="164"/>
      <c r="BZ250" s="164">
        <v>0</v>
      </c>
      <c r="CA250" s="166">
        <f>-BZ250-BY250-BX250+Annually!AE261</f>
        <v>0</v>
      </c>
      <c r="CB250" s="163"/>
      <c r="CC250" s="164"/>
      <c r="CD250" s="164"/>
      <c r="CE250" s="164">
        <v>0</v>
      </c>
      <c r="CF250" s="163"/>
      <c r="CG250" s="164"/>
      <c r="CH250" s="164"/>
      <c r="CI250" s="164"/>
      <c r="CJ250" s="163"/>
      <c r="CK250" s="164"/>
      <c r="CL250" s="164"/>
      <c r="CM250" s="166"/>
      <c r="CN250" s="163"/>
      <c r="CO250" s="164"/>
      <c r="CP250" s="164"/>
      <c r="CQ250" s="164"/>
      <c r="CR250" s="458"/>
      <c r="CS250" s="458"/>
      <c r="CT250" s="458"/>
      <c r="CU250" s="458"/>
      <c r="CV250" s="458"/>
      <c r="CW250" s="458"/>
      <c r="CX250" s="458"/>
      <c r="CY250" s="458"/>
      <c r="CZ250" s="458"/>
      <c r="DA250" s="458"/>
      <c r="DB250" s="458"/>
      <c r="DC250" s="458"/>
      <c r="DD250" s="458"/>
      <c r="DE250" s="458"/>
      <c r="DF250" s="458"/>
      <c r="DG250" s="458"/>
      <c r="DH250" s="458"/>
      <c r="DI250" s="458"/>
      <c r="DJ250" s="458"/>
      <c r="DK250" s="458"/>
      <c r="DL250" s="458"/>
      <c r="DM250" s="458"/>
      <c r="DN250" s="458"/>
      <c r="DO250" s="458"/>
      <c r="DP250" s="458"/>
      <c r="DQ250" s="458"/>
      <c r="DR250" s="458"/>
      <c r="DS250" s="458"/>
      <c r="DW250" s="63"/>
    </row>
    <row r="251" spans="1:127" ht="15" hidden="1" outlineLevel="1">
      <c r="A251" s="116" t="s">
        <v>86</v>
      </c>
      <c r="B251" s="116" t="s">
        <v>87</v>
      </c>
      <c r="C251" s="118">
        <v>0</v>
      </c>
      <c r="D251" s="118">
        <v>0</v>
      </c>
      <c r="E251" s="118">
        <v>0</v>
      </c>
      <c r="F251" s="119">
        <v>0</v>
      </c>
      <c r="G251" s="120"/>
      <c r="H251" s="118">
        <v>0</v>
      </c>
      <c r="I251" s="118">
        <v>0</v>
      </c>
      <c r="J251" s="119">
        <f>Annually!H260-SUM(G251:I251)</f>
        <v>0</v>
      </c>
      <c r="K251" s="184"/>
      <c r="L251" s="185">
        <v>0</v>
      </c>
      <c r="M251" s="185">
        <v>0</v>
      </c>
      <c r="N251" s="274">
        <f>Annually!I260-Quarterly!M251-Quarterly!L251-Quarterly!K251</f>
        <v>0</v>
      </c>
      <c r="O251" s="184">
        <v>0</v>
      </c>
      <c r="P251" s="185">
        <v>0</v>
      </c>
      <c r="Q251" s="185">
        <v>0</v>
      </c>
      <c r="R251" s="185">
        <f>-Q251-P251-O251+Annually!J262</f>
        <v>0</v>
      </c>
      <c r="S251" s="184"/>
      <c r="T251" s="185">
        <v>0</v>
      </c>
      <c r="U251" s="185">
        <v>0</v>
      </c>
      <c r="V251" s="185">
        <v>0</v>
      </c>
      <c r="W251" s="184"/>
      <c r="X251" s="185"/>
      <c r="Y251" s="185"/>
      <c r="Z251" s="185"/>
      <c r="AA251" s="184"/>
      <c r="AB251" s="185"/>
      <c r="AC251" s="185"/>
      <c r="AD251" s="185"/>
      <c r="AE251" s="184"/>
      <c r="AF251" s="185"/>
      <c r="AG251" s="185"/>
      <c r="AH251" s="185"/>
      <c r="AI251" s="453"/>
      <c r="AJ251" s="458"/>
      <c r="AK251" s="458"/>
      <c r="AL251" s="458"/>
      <c r="AM251" s="458"/>
      <c r="AN251" s="458"/>
      <c r="AO251" s="458"/>
      <c r="AP251" s="458"/>
      <c r="AQ251" s="458"/>
      <c r="AR251" s="458"/>
      <c r="AS251" s="458"/>
      <c r="AT251" s="458"/>
      <c r="AU251" s="458"/>
      <c r="AV251" s="458"/>
      <c r="AW251" s="458"/>
      <c r="AX251" s="458"/>
      <c r="AY251" s="458"/>
      <c r="AZ251" s="458"/>
      <c r="BA251" s="458"/>
      <c r="BB251" s="458"/>
      <c r="BC251" s="458"/>
      <c r="BD251" s="458"/>
      <c r="BE251" s="458"/>
      <c r="BF251" s="458"/>
      <c r="BG251" s="458"/>
      <c r="BH251" s="458"/>
      <c r="BI251" s="458"/>
      <c r="BJ251" s="458"/>
      <c r="BK251" s="458"/>
      <c r="BL251" s="158">
        <v>0</v>
      </c>
      <c r="BM251" s="158">
        <v>0</v>
      </c>
      <c r="BN251" s="158">
        <v>0</v>
      </c>
      <c r="BO251" s="159">
        <v>0</v>
      </c>
      <c r="BP251" s="160"/>
      <c r="BQ251" s="161">
        <v>0</v>
      </c>
      <c r="BR251" s="161">
        <v>0</v>
      </c>
      <c r="BS251" s="162">
        <f>Annually!AC260-SUM(Quarterly!BP251:BR251)</f>
        <v>0</v>
      </c>
      <c r="BT251" s="163"/>
      <c r="BU251" s="164">
        <v>0</v>
      </c>
      <c r="BV251" s="164">
        <v>0</v>
      </c>
      <c r="BW251" s="165">
        <f>Annually!AD262-Quarterly!BV251-Quarterly!BU251-Quarterly!BT251</f>
        <v>0</v>
      </c>
      <c r="BX251" s="163"/>
      <c r="BY251" s="164"/>
      <c r="BZ251" s="164">
        <v>0</v>
      </c>
      <c r="CA251" s="166">
        <f>-BZ251-BY251-BX251+Annually!AE262</f>
        <v>0</v>
      </c>
      <c r="CB251" s="163"/>
      <c r="CC251" s="164"/>
      <c r="CD251" s="164"/>
      <c r="CE251" s="164">
        <v>0</v>
      </c>
      <c r="CF251" s="163"/>
      <c r="CG251" s="164"/>
      <c r="CH251" s="164"/>
      <c r="CI251" s="164"/>
      <c r="CJ251" s="163"/>
      <c r="CK251" s="164"/>
      <c r="CL251" s="164"/>
      <c r="CM251" s="166"/>
      <c r="CN251" s="163"/>
      <c r="CO251" s="164"/>
      <c r="CP251" s="164"/>
      <c r="CQ251" s="164"/>
      <c r="CR251" s="458"/>
      <c r="CS251" s="458"/>
      <c r="CT251" s="458"/>
      <c r="CU251" s="458"/>
      <c r="CV251" s="458"/>
      <c r="CW251" s="458"/>
      <c r="CX251" s="458"/>
      <c r="CY251" s="458"/>
      <c r="CZ251" s="458"/>
      <c r="DA251" s="458"/>
      <c r="DB251" s="458"/>
      <c r="DC251" s="458"/>
      <c r="DD251" s="458"/>
      <c r="DE251" s="458"/>
      <c r="DF251" s="458"/>
      <c r="DG251" s="458"/>
      <c r="DH251" s="458"/>
      <c r="DI251" s="458"/>
      <c r="DJ251" s="458"/>
      <c r="DK251" s="458"/>
      <c r="DL251" s="458"/>
      <c r="DM251" s="458"/>
      <c r="DN251" s="458"/>
      <c r="DO251" s="458"/>
      <c r="DP251" s="458"/>
      <c r="DQ251" s="458"/>
      <c r="DR251" s="458"/>
      <c r="DS251" s="458"/>
      <c r="DW251" s="63"/>
    </row>
    <row r="252" spans="1:127" ht="15" hidden="1" outlineLevel="1">
      <c r="A252" s="99" t="s">
        <v>104</v>
      </c>
      <c r="B252" s="142" t="s">
        <v>93</v>
      </c>
      <c r="C252" s="118">
        <v>0</v>
      </c>
      <c r="D252" s="118">
        <v>0</v>
      </c>
      <c r="E252" s="118">
        <v>0</v>
      </c>
      <c r="F252" s="119">
        <v>0</v>
      </c>
      <c r="G252" s="120"/>
      <c r="H252" s="118">
        <v>0</v>
      </c>
      <c r="I252" s="118">
        <v>0</v>
      </c>
      <c r="J252" s="119">
        <f>Annually!H261-SUM(G252:I252)</f>
        <v>0</v>
      </c>
      <c r="K252" s="184"/>
      <c r="L252" s="185">
        <v>0</v>
      </c>
      <c r="M252" s="185">
        <v>0</v>
      </c>
      <c r="N252" s="274">
        <f>Annually!I261-Quarterly!M252-Quarterly!L252-Quarterly!K252</f>
        <v>0</v>
      </c>
      <c r="O252" s="184">
        <v>0</v>
      </c>
      <c r="P252" s="185">
        <v>0</v>
      </c>
      <c r="Q252" s="185">
        <v>0</v>
      </c>
      <c r="R252" s="185">
        <f>-Q252-P252-O252+Annually!J263</f>
        <v>0</v>
      </c>
      <c r="S252" s="184"/>
      <c r="T252" s="185">
        <v>0</v>
      </c>
      <c r="U252" s="185">
        <v>0</v>
      </c>
      <c r="V252" s="185">
        <v>0</v>
      </c>
      <c r="W252" s="184"/>
      <c r="X252" s="185"/>
      <c r="Y252" s="185"/>
      <c r="Z252" s="185"/>
      <c r="AA252" s="184"/>
      <c r="AB252" s="185"/>
      <c r="AC252" s="185"/>
      <c r="AD252" s="185"/>
      <c r="AE252" s="184"/>
      <c r="AF252" s="185"/>
      <c r="AG252" s="185"/>
      <c r="AH252" s="185"/>
      <c r="AI252" s="453"/>
      <c r="AJ252" s="458"/>
      <c r="AK252" s="458"/>
      <c r="AL252" s="458"/>
      <c r="AM252" s="458"/>
      <c r="AN252" s="458"/>
      <c r="AO252" s="458"/>
      <c r="AP252" s="458"/>
      <c r="AQ252" s="458"/>
      <c r="AR252" s="458"/>
      <c r="AS252" s="458"/>
      <c r="AT252" s="458"/>
      <c r="AU252" s="458"/>
      <c r="AV252" s="458"/>
      <c r="AW252" s="458"/>
      <c r="AX252" s="458"/>
      <c r="AY252" s="458"/>
      <c r="AZ252" s="458"/>
      <c r="BA252" s="458"/>
      <c r="BB252" s="458"/>
      <c r="BC252" s="458"/>
      <c r="BD252" s="458"/>
      <c r="BE252" s="458"/>
      <c r="BF252" s="458"/>
      <c r="BG252" s="458"/>
      <c r="BH252" s="458"/>
      <c r="BI252" s="458"/>
      <c r="BJ252" s="458"/>
      <c r="BK252" s="458"/>
      <c r="BL252" s="158">
        <v>0</v>
      </c>
      <c r="BM252" s="158">
        <v>0</v>
      </c>
      <c r="BN252" s="158">
        <v>0</v>
      </c>
      <c r="BO252" s="159">
        <v>0</v>
      </c>
      <c r="BP252" s="160"/>
      <c r="BQ252" s="161">
        <v>0</v>
      </c>
      <c r="BR252" s="161">
        <v>0</v>
      </c>
      <c r="BS252" s="162">
        <f>Annually!AC261-SUM(Quarterly!BP252:BR252)</f>
        <v>0</v>
      </c>
      <c r="BT252" s="163"/>
      <c r="BU252" s="164">
        <v>0</v>
      </c>
      <c r="BV252" s="164">
        <v>0</v>
      </c>
      <c r="BW252" s="165">
        <f>Annually!AD263-Quarterly!BV252-Quarterly!BU252-Quarterly!BT252</f>
        <v>0</v>
      </c>
      <c r="BX252" s="163"/>
      <c r="BY252" s="164"/>
      <c r="BZ252" s="164">
        <v>0</v>
      </c>
      <c r="CA252" s="166">
        <f>-BZ252-BY252-BX252+Annually!AE263</f>
        <v>0</v>
      </c>
      <c r="CB252" s="163"/>
      <c r="CC252" s="164"/>
      <c r="CD252" s="164"/>
      <c r="CE252" s="164">
        <v>0</v>
      </c>
      <c r="CF252" s="163"/>
      <c r="CG252" s="164"/>
      <c r="CH252" s="164"/>
      <c r="CI252" s="164"/>
      <c r="CJ252" s="163"/>
      <c r="CK252" s="164"/>
      <c r="CL252" s="164"/>
      <c r="CM252" s="166"/>
      <c r="CN252" s="163"/>
      <c r="CO252" s="164"/>
      <c r="CP252" s="164"/>
      <c r="CQ252" s="164"/>
      <c r="CR252" s="458"/>
      <c r="CS252" s="458"/>
      <c r="CT252" s="458"/>
      <c r="CU252" s="458"/>
      <c r="CV252" s="458"/>
      <c r="CW252" s="458"/>
      <c r="CX252" s="458"/>
      <c r="CY252" s="458"/>
      <c r="CZ252" s="458"/>
      <c r="DA252" s="458"/>
      <c r="DB252" s="458"/>
      <c r="DC252" s="458"/>
      <c r="DD252" s="458"/>
      <c r="DE252" s="458"/>
      <c r="DF252" s="458"/>
      <c r="DG252" s="458"/>
      <c r="DH252" s="458"/>
      <c r="DI252" s="458"/>
      <c r="DJ252" s="458"/>
      <c r="DK252" s="458"/>
      <c r="DL252" s="458"/>
      <c r="DM252" s="458"/>
      <c r="DN252" s="458"/>
      <c r="DO252" s="458"/>
      <c r="DP252" s="458"/>
      <c r="DQ252" s="458"/>
      <c r="DR252" s="458"/>
      <c r="DS252" s="458"/>
      <c r="DW252" s="63"/>
    </row>
    <row r="253" spans="1:127" ht="15" hidden="1" outlineLevel="1">
      <c r="A253" s="116" t="s">
        <v>88</v>
      </c>
      <c r="B253" s="130" t="s">
        <v>89</v>
      </c>
      <c r="C253" s="118">
        <v>14.91</v>
      </c>
      <c r="D253" s="118">
        <v>23.562</v>
      </c>
      <c r="E253" s="118">
        <v>30.258999999999993</v>
      </c>
      <c r="F253" s="119">
        <v>24.188000000000002</v>
      </c>
      <c r="G253" s="120">
        <v>41</v>
      </c>
      <c r="H253" s="118">
        <v>37.5</v>
      </c>
      <c r="I253" s="118">
        <v>41.900000000000006</v>
      </c>
      <c r="J253" s="119">
        <f>Annually!H264-SUM(G253:I253)</f>
        <v>39.599999999999994</v>
      </c>
      <c r="K253" s="184">
        <v>42.3</v>
      </c>
      <c r="L253" s="185">
        <v>29.409000000000006</v>
      </c>
      <c r="M253" s="185">
        <v>39.949</v>
      </c>
      <c r="N253" s="274">
        <f>Annually!I264-Quarterly!M253-Quarterly!L253-Quarterly!K253</f>
        <v>34.38600000000001</v>
      </c>
      <c r="O253" s="184">
        <v>35.732</v>
      </c>
      <c r="P253" s="185">
        <f>74.289-O253</f>
        <v>38.557</v>
      </c>
      <c r="Q253" s="185">
        <v>36.211</v>
      </c>
      <c r="R253" s="185">
        <f>-Q253-P253-O253+Annually!J264</f>
        <v>23.381</v>
      </c>
      <c r="S253" s="184">
        <v>36.5</v>
      </c>
      <c r="T253" s="185">
        <v>33.795</v>
      </c>
      <c r="U253" s="185">
        <v>26.733000000000004</v>
      </c>
      <c r="V253" s="185">
        <v>32.120999999999995</v>
      </c>
      <c r="W253" s="184">
        <v>41.029</v>
      </c>
      <c r="X253" s="185">
        <v>42.502</v>
      </c>
      <c r="Y253" s="185">
        <v>40.46899999999999</v>
      </c>
      <c r="Z253" s="185">
        <f>Annually!L264-W253-X253-Y253</f>
        <v>12.000000000000014</v>
      </c>
      <c r="AA253" s="184">
        <v>32.121</v>
      </c>
      <c r="AB253" s="185">
        <v>12.692999999999998</v>
      </c>
      <c r="AC253" s="185">
        <v>33.882</v>
      </c>
      <c r="AD253" s="185">
        <f>Annually!M264-AC253-AB253-AA253</f>
        <v>28.36100000000001</v>
      </c>
      <c r="AE253" s="184">
        <v>16.018</v>
      </c>
      <c r="AF253" s="185">
        <v>9.096999999999998</v>
      </c>
      <c r="AG253" s="257"/>
      <c r="AH253" s="257"/>
      <c r="AI253" s="450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58">
        <v>12.797</v>
      </c>
      <c r="BM253" s="158">
        <v>23.810999999999996</v>
      </c>
      <c r="BN253" s="158">
        <v>29.993000000000002</v>
      </c>
      <c r="BO253" s="159">
        <v>24.373000000000005</v>
      </c>
      <c r="BP253" s="160">
        <v>41.9</v>
      </c>
      <c r="BQ253" s="161">
        <v>37.731</v>
      </c>
      <c r="BR253" s="161">
        <v>40.568999999999996</v>
      </c>
      <c r="BS253" s="162">
        <f>Annually!AC264-SUM(Quarterly!BP253:BR253)</f>
        <v>37.400000000000006</v>
      </c>
      <c r="BT253" s="163">
        <v>42.2</v>
      </c>
      <c r="BU253" s="164">
        <v>30.608000000000004</v>
      </c>
      <c r="BV253" s="164">
        <v>39.891999999999996</v>
      </c>
      <c r="BW253" s="165">
        <f>Annually!AD264-Quarterly!BV253-Quarterly!BU253-Quarterly!BT253</f>
        <v>35.325</v>
      </c>
      <c r="BX253" s="163">
        <v>31.897</v>
      </c>
      <c r="BY253" s="164">
        <f>74.396-BX253</f>
        <v>42.499</v>
      </c>
      <c r="BZ253" s="164">
        <v>32.444999999999986</v>
      </c>
      <c r="CA253" s="166">
        <f>-BZ253-BY253-BX253+Annually!AE264</f>
        <v>25.118000000000023</v>
      </c>
      <c r="CB253" s="163">
        <v>39.1</v>
      </c>
      <c r="CC253" s="164">
        <v>32.699999999999996</v>
      </c>
      <c r="CD253" s="164">
        <v>25.853</v>
      </c>
      <c r="CE253" s="164">
        <v>32.84700000000001</v>
      </c>
      <c r="CF253" s="163">
        <v>39.778</v>
      </c>
      <c r="CG253" s="164">
        <v>43.352</v>
      </c>
      <c r="CH253" s="164">
        <v>38.37</v>
      </c>
      <c r="CI253" s="164">
        <f>Annually!AG264-CH253-CG253-CF253</f>
        <v>12.099999999999994</v>
      </c>
      <c r="CJ253" s="163">
        <v>32.791</v>
      </c>
      <c r="CK253" s="164">
        <v>15.365000000000002</v>
      </c>
      <c r="CL253" s="164">
        <v>31.899</v>
      </c>
      <c r="CM253" s="166">
        <f>Annually!AH264-CL253-CK253-CJ253</f>
        <v>31.236999999999995</v>
      </c>
      <c r="CN253" s="163">
        <v>14.762</v>
      </c>
      <c r="CO253" s="164">
        <v>9.271</v>
      </c>
      <c r="CP253" s="121"/>
      <c r="CQ253" s="121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U253" s="63"/>
      <c r="DW253" s="63"/>
    </row>
    <row r="254" spans="1:123" ht="15.75" hidden="1" outlineLevel="1">
      <c r="A254" s="98" t="s">
        <v>113</v>
      </c>
      <c r="B254" s="98" t="s">
        <v>112</v>
      </c>
      <c r="C254" s="71">
        <f>C220+C229+C237+C247-C221-C230-C238</f>
        <v>99.79899999999999</v>
      </c>
      <c r="D254" s="71">
        <f>D220+D229+D237+D247-D221-D230-D238</f>
        <v>156.827</v>
      </c>
      <c r="E254" s="71">
        <f>E220+E229+E237+E247-E221-E230-E238</f>
        <v>175.00699999999998</v>
      </c>
      <c r="F254" s="72">
        <f>F220+F229+F237+F247-F221-F230-F238</f>
        <v>121.95300000000003</v>
      </c>
      <c r="G254" s="73">
        <f aca="true" t="shared" si="640" ref="G254:U254">G220+G229+G237+G247-G252-G221-G230-G238</f>
        <v>200.3</v>
      </c>
      <c r="H254" s="71">
        <f t="shared" si="640"/>
        <v>203.36199999999997</v>
      </c>
      <c r="I254" s="71">
        <f t="shared" si="640"/>
        <v>236.43800000000002</v>
      </c>
      <c r="J254" s="72">
        <f t="shared" si="640"/>
        <v>235.60000000000008</v>
      </c>
      <c r="K254" s="74">
        <f t="shared" si="640"/>
        <v>241.29999999999998</v>
      </c>
      <c r="L254" s="75">
        <f t="shared" si="640"/>
        <v>211.04799999999997</v>
      </c>
      <c r="M254" s="75">
        <f t="shared" si="640"/>
        <v>258.97100000000006</v>
      </c>
      <c r="N254" s="272">
        <f t="shared" si="640"/>
        <v>205.40699999999993</v>
      </c>
      <c r="O254" s="74">
        <f t="shared" si="640"/>
        <v>257.93</v>
      </c>
      <c r="P254" s="75">
        <f t="shared" si="640"/>
        <v>284.648</v>
      </c>
      <c r="Q254" s="75">
        <f t="shared" si="640"/>
        <v>242.19699999999997</v>
      </c>
      <c r="R254" s="272">
        <f t="shared" si="640"/>
        <v>210.29799999999994</v>
      </c>
      <c r="S254" s="74">
        <f t="shared" si="640"/>
        <v>260.4</v>
      </c>
      <c r="T254" s="75">
        <f t="shared" si="640"/>
        <v>242.695</v>
      </c>
      <c r="U254" s="75">
        <f t="shared" si="640"/>
        <v>180.19</v>
      </c>
      <c r="V254" s="75">
        <f aca="true" t="shared" si="641" ref="V254:AC254">V220+V229+V237+V247-V252-V221-V230-V238</f>
        <v>195.44300000000004</v>
      </c>
      <c r="W254" s="74">
        <f t="shared" si="641"/>
        <v>266.138</v>
      </c>
      <c r="X254" s="75">
        <f t="shared" si="641"/>
        <v>273.419</v>
      </c>
      <c r="Y254" s="75">
        <f t="shared" si="641"/>
        <v>248.74299999999988</v>
      </c>
      <c r="Z254" s="75">
        <f t="shared" si="641"/>
        <v>82.30000000000008</v>
      </c>
      <c r="AA254" s="74">
        <f t="shared" si="641"/>
        <v>207.355</v>
      </c>
      <c r="AB254" s="75">
        <f t="shared" si="641"/>
        <v>101.122</v>
      </c>
      <c r="AC254" s="75">
        <f t="shared" si="641"/>
        <v>242.08200000000005</v>
      </c>
      <c r="AD254" s="75">
        <f>AD220+AD229+AD237+AD247-AD252-AD221-AD230-AD238</f>
        <v>158.85000000000002</v>
      </c>
      <c r="AE254" s="74">
        <f>AE220+AE229+AE237+AE247-AE252-AE221-AE230-AE238</f>
        <v>84.377</v>
      </c>
      <c r="AF254" s="75">
        <f>AF220+AF229+AF237+AF247-AF252-AF221-AF230-AF238</f>
        <v>84.51799999999999</v>
      </c>
      <c r="AG254" s="75"/>
      <c r="AH254" s="75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292">
        <f aca="true" t="shared" si="642" ref="BL254:BQ254">BL220+BL229+BL237+BL247-BL221-BL230-BL238</f>
        <v>186.077</v>
      </c>
      <c r="BM254" s="292">
        <f t="shared" si="642"/>
        <v>147.631</v>
      </c>
      <c r="BN254" s="292">
        <f t="shared" si="642"/>
        <v>170.17399999999998</v>
      </c>
      <c r="BO254" s="326">
        <f t="shared" si="642"/>
        <v>135.43300000000008</v>
      </c>
      <c r="BP254" s="327">
        <f t="shared" si="642"/>
        <v>210.4</v>
      </c>
      <c r="BQ254" s="292">
        <f t="shared" si="642"/>
        <v>167.7044</v>
      </c>
      <c r="BR254" s="292">
        <f aca="true" t="shared" si="643" ref="BR254:BX254">BR220+BR229+BR237+BR247-BR221-BR230-BR238</f>
        <v>227.3956</v>
      </c>
      <c r="BS254" s="326">
        <f t="shared" si="643"/>
        <v>223.49999999999994</v>
      </c>
      <c r="BT254" s="327">
        <f t="shared" si="643"/>
        <v>188.8</v>
      </c>
      <c r="BU254" s="292">
        <f t="shared" si="643"/>
        <v>251.58700000000002</v>
      </c>
      <c r="BV254" s="292">
        <f t="shared" si="643"/>
        <v>239.01300000000003</v>
      </c>
      <c r="BW254" s="326">
        <f t="shared" si="643"/>
        <v>201.5949999999999</v>
      </c>
      <c r="BX254" s="327">
        <f t="shared" si="643"/>
        <v>269.205</v>
      </c>
      <c r="BY254" s="292">
        <f aca="true" t="shared" si="644" ref="BY254:CE254">BY220+BY229+BY237+BY247-BY221-BY230-BY238</f>
        <v>263.92900000000003</v>
      </c>
      <c r="BZ254" s="292">
        <f t="shared" si="644"/>
        <v>201.562</v>
      </c>
      <c r="CA254" s="326">
        <f t="shared" si="644"/>
        <v>201.56299999999987</v>
      </c>
      <c r="CB254" s="305">
        <f t="shared" si="644"/>
        <v>256.6</v>
      </c>
      <c r="CC254" s="303">
        <f t="shared" si="644"/>
        <v>280.1</v>
      </c>
      <c r="CD254" s="303">
        <f>CD220+CD229+CD237+CD247-CD221-CD230-CD238</f>
        <v>210.00900000000001</v>
      </c>
      <c r="CE254" s="303">
        <f t="shared" si="644"/>
        <v>226.88400000000004</v>
      </c>
      <c r="CF254" s="305">
        <f aca="true" t="shared" si="645" ref="CF254:CN254">CF220+CF229+CF237+CF247-CF221-CF230-CF238</f>
        <v>222.11499999999998</v>
      </c>
      <c r="CG254" s="303">
        <f t="shared" si="645"/>
        <v>246.45199999999997</v>
      </c>
      <c r="CH254" s="303">
        <f t="shared" si="645"/>
        <v>244.03300000000004</v>
      </c>
      <c r="CI254" s="303">
        <f t="shared" si="645"/>
        <v>155.20000000000002</v>
      </c>
      <c r="CJ254" s="305">
        <f t="shared" si="645"/>
        <v>186.656</v>
      </c>
      <c r="CK254" s="303">
        <f t="shared" si="645"/>
        <v>127.01100000000002</v>
      </c>
      <c r="CL254" s="303">
        <f t="shared" si="645"/>
        <v>218.27899999999997</v>
      </c>
      <c r="CM254" s="304">
        <f>CM220+CM229+CM237+CM247-CM221-CM230-CM238</f>
        <v>126.90700000000004</v>
      </c>
      <c r="CN254" s="305">
        <f t="shared" si="645"/>
        <v>123.64</v>
      </c>
      <c r="CO254" s="303">
        <f>CO220+CO229+CO237+CO247-CO221-CO230-CO238</f>
        <v>108.115</v>
      </c>
      <c r="CP254" s="303"/>
      <c r="CQ254" s="303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</row>
    <row r="255" spans="1:63" ht="15" hidden="1" outlineLevel="1">
      <c r="A255" s="64" t="s">
        <v>236</v>
      </c>
      <c r="B255" s="129" t="s">
        <v>235</v>
      </c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41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</row>
    <row r="256" ht="15" collapsed="1"/>
  </sheetData>
  <sheetProtection/>
  <mergeCells count="48">
    <mergeCell ref="BL218:CQ218"/>
    <mergeCell ref="BL62:DS62"/>
    <mergeCell ref="BL63:DS63"/>
    <mergeCell ref="BL121:DS121"/>
    <mergeCell ref="BL122:DS122"/>
    <mergeCell ref="FN62:GT62"/>
    <mergeCell ref="FN63:GT63"/>
    <mergeCell ref="DU62:FL62"/>
    <mergeCell ref="DU63:FL63"/>
    <mergeCell ref="C217:AH217"/>
    <mergeCell ref="BL217:CQ217"/>
    <mergeCell ref="C168:BJ168"/>
    <mergeCell ref="C169:BJ169"/>
    <mergeCell ref="C206:BJ206"/>
    <mergeCell ref="C207:BJ207"/>
    <mergeCell ref="B217:B218"/>
    <mergeCell ref="C218:AH218"/>
    <mergeCell ref="A217:A218"/>
    <mergeCell ref="B206:B207"/>
    <mergeCell ref="A206:A207"/>
    <mergeCell ref="A62:A63"/>
    <mergeCell ref="A168:A169"/>
    <mergeCell ref="B121:B122"/>
    <mergeCell ref="A121:A122"/>
    <mergeCell ref="B168:B169"/>
    <mergeCell ref="DU15:EJ15"/>
    <mergeCell ref="DU16:EJ16"/>
    <mergeCell ref="B62:B63"/>
    <mergeCell ref="C16:AH16"/>
    <mergeCell ref="BL15:CQ15"/>
    <mergeCell ref="BL16:CQ16"/>
    <mergeCell ref="C15:AH15"/>
    <mergeCell ref="A3:A4"/>
    <mergeCell ref="B3:B4"/>
    <mergeCell ref="FN15:FY15"/>
    <mergeCell ref="B15:B16"/>
    <mergeCell ref="A15:A16"/>
    <mergeCell ref="FN16:FY16"/>
    <mergeCell ref="BL168:DS168"/>
    <mergeCell ref="BL169:DS169"/>
    <mergeCell ref="BL206:DS206"/>
    <mergeCell ref="BL207:DS207"/>
    <mergeCell ref="C3:BJ3"/>
    <mergeCell ref="C4:BJ4"/>
    <mergeCell ref="C62:BJ62"/>
    <mergeCell ref="C63:BJ63"/>
    <mergeCell ref="C121:BJ121"/>
    <mergeCell ref="C122:BJ122"/>
  </mergeCells>
  <printOptions/>
  <pageMargins left="0.25" right="0.25" top="0.75" bottom="0.75" header="0.3" footer="0.3"/>
  <pageSetup fitToHeight="1" fitToWidth="1" horizontalDpi="600" verticalDpi="600" orientation="portrait" paperSize="8" scale="51" r:id="rId4"/>
  <ignoredErrors>
    <ignoredError sqref="L44:X44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Yashin Alexander</cp:lastModifiedBy>
  <cp:lastPrinted>2022-10-25T14:31:59Z</cp:lastPrinted>
  <dcterms:created xsi:type="dcterms:W3CDTF">2007-10-09T08:15:59Z</dcterms:created>
  <dcterms:modified xsi:type="dcterms:W3CDTF">2024-03-12T11:52:49Z</dcterms:modified>
  <cp:category/>
  <cp:version/>
  <cp:contentType/>
  <cp:contentStatus/>
</cp:coreProperties>
</file>